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950" activeTab="6"/>
  </bookViews>
  <sheets>
    <sheet name="290613" sheetId="1" r:id="rId1"/>
    <sheet name="300613" sheetId="4" r:id="rId2"/>
    <sheet name="020713" sheetId="5" r:id="rId3"/>
    <sheet name="030713" sheetId="7" r:id="rId4"/>
    <sheet name="040713" sheetId="8" r:id="rId5"/>
    <sheet name="060713" sheetId="9" r:id="rId6"/>
    <sheet name="070713" sheetId="10" r:id="rId7"/>
  </sheets>
  <calcPr calcId="144525"/>
</workbook>
</file>

<file path=xl/calcChain.xml><?xml version="1.0" encoding="utf-8"?>
<calcChain xmlns="http://schemas.openxmlformats.org/spreadsheetml/2006/main">
  <c r="AM5" i="10" l="1"/>
  <c r="AL5" i="10"/>
  <c r="Z4" i="10" l="1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AK32" i="10"/>
  <c r="AJ32" i="10"/>
  <c r="AI32" i="10"/>
  <c r="AH32" i="10"/>
  <c r="AC32" i="10"/>
  <c r="AA32" i="10"/>
  <c r="Y32" i="10"/>
  <c r="R32" i="10"/>
  <c r="Q32" i="10"/>
  <c r="S32" i="10" s="1"/>
  <c r="Z32" i="10" s="1"/>
  <c r="F32" i="10"/>
  <c r="AK31" i="10"/>
  <c r="AJ31" i="10"/>
  <c r="AI31" i="10"/>
  <c r="AH31" i="10"/>
  <c r="R31" i="10"/>
  <c r="Q31" i="10"/>
  <c r="S31" i="10" s="1"/>
  <c r="Z31" i="10" s="1"/>
  <c r="F31" i="10"/>
  <c r="AK30" i="10"/>
  <c r="AJ30" i="10"/>
  <c r="AI30" i="10"/>
  <c r="AH30" i="10"/>
  <c r="R30" i="10"/>
  <c r="Q30" i="10"/>
  <c r="S30" i="10" s="1"/>
  <c r="Z30" i="10" s="1"/>
  <c r="F30" i="10"/>
  <c r="AK29" i="10"/>
  <c r="AJ29" i="10"/>
  <c r="AI29" i="10"/>
  <c r="AH29" i="10"/>
  <c r="R29" i="10"/>
  <c r="Q29" i="10"/>
  <c r="S29" i="10" s="1"/>
  <c r="Z29" i="10" s="1"/>
  <c r="F29" i="10"/>
  <c r="AK28" i="10"/>
  <c r="AJ28" i="10"/>
  <c r="AI28" i="10"/>
  <c r="AH28" i="10"/>
  <c r="R28" i="10"/>
  <c r="Q28" i="10"/>
  <c r="S28" i="10" s="1"/>
  <c r="Z28" i="10" s="1"/>
  <c r="F28" i="10"/>
  <c r="AK27" i="10"/>
  <c r="AJ27" i="10"/>
  <c r="AI27" i="10"/>
  <c r="AH27" i="10"/>
  <c r="R27" i="10"/>
  <c r="Q27" i="10"/>
  <c r="S27" i="10" s="1"/>
  <c r="Z27" i="10" s="1"/>
  <c r="F27" i="10"/>
  <c r="AK26" i="10"/>
  <c r="AJ26" i="10"/>
  <c r="AI26" i="10"/>
  <c r="AH26" i="10"/>
  <c r="R26" i="10"/>
  <c r="Q26" i="10"/>
  <c r="S26" i="10" s="1"/>
  <c r="Z26" i="10" s="1"/>
  <c r="F26" i="10"/>
  <c r="AK25" i="10"/>
  <c r="AJ25" i="10"/>
  <c r="AI25" i="10"/>
  <c r="AH25" i="10"/>
  <c r="R25" i="10"/>
  <c r="Q25" i="10"/>
  <c r="S25" i="10" s="1"/>
  <c r="Z25" i="10" s="1"/>
  <c r="F25" i="10"/>
  <c r="AK24" i="10"/>
  <c r="AJ24" i="10"/>
  <c r="AI24" i="10"/>
  <c r="AH24" i="10"/>
  <c r="R24" i="10"/>
  <c r="Q24" i="10"/>
  <c r="S24" i="10" s="1"/>
  <c r="Z24" i="10" s="1"/>
  <c r="F24" i="10"/>
  <c r="AK23" i="10"/>
  <c r="AJ23" i="10"/>
  <c r="AI23" i="10"/>
  <c r="AH23" i="10"/>
  <c r="R23" i="10"/>
  <c r="Q23" i="10"/>
  <c r="S23" i="10" s="1"/>
  <c r="Z23" i="10" s="1"/>
  <c r="F23" i="10"/>
  <c r="AK22" i="10"/>
  <c r="AJ22" i="10"/>
  <c r="AI22" i="10"/>
  <c r="AH22" i="10"/>
  <c r="R22" i="10"/>
  <c r="Q22" i="10"/>
  <c r="S22" i="10" s="1"/>
  <c r="Z22" i="10" s="1"/>
  <c r="F22" i="10"/>
  <c r="AK21" i="10"/>
  <c r="AJ21" i="10"/>
  <c r="AI21" i="10"/>
  <c r="AH21" i="10"/>
  <c r="R21" i="10"/>
  <c r="Q21" i="10"/>
  <c r="S21" i="10" s="1"/>
  <c r="Z21" i="10" s="1"/>
  <c r="F21" i="10"/>
  <c r="AK20" i="10"/>
  <c r="AJ20" i="10"/>
  <c r="AI20" i="10"/>
  <c r="AH20" i="10"/>
  <c r="R20" i="10"/>
  <c r="Q20" i="10"/>
  <c r="S20" i="10" s="1"/>
  <c r="Z20" i="10" s="1"/>
  <c r="F20" i="10"/>
  <c r="AK19" i="10"/>
  <c r="AJ19" i="10"/>
  <c r="AI19" i="10"/>
  <c r="AH19" i="10"/>
  <c r="R19" i="10"/>
  <c r="Q19" i="10"/>
  <c r="S19" i="10" s="1"/>
  <c r="Z19" i="10" s="1"/>
  <c r="F19" i="10"/>
  <c r="AK18" i="10"/>
  <c r="AJ18" i="10"/>
  <c r="AI18" i="10"/>
  <c r="AH18" i="10"/>
  <c r="R18" i="10"/>
  <c r="Q18" i="10"/>
  <c r="S18" i="10" s="1"/>
  <c r="Z18" i="10" s="1"/>
  <c r="F18" i="10"/>
  <c r="AK17" i="10"/>
  <c r="AJ17" i="10"/>
  <c r="AI17" i="10"/>
  <c r="AH17" i="10"/>
  <c r="R17" i="10"/>
  <c r="Q17" i="10"/>
  <c r="S17" i="10" s="1"/>
  <c r="Z17" i="10" s="1"/>
  <c r="F17" i="10"/>
  <c r="AK16" i="10"/>
  <c r="AJ16" i="10"/>
  <c r="AI16" i="10"/>
  <c r="AH16" i="10"/>
  <c r="R16" i="10"/>
  <c r="Q16" i="10"/>
  <c r="S16" i="10" s="1"/>
  <c r="Z16" i="10" s="1"/>
  <c r="F16" i="10"/>
  <c r="AK15" i="10"/>
  <c r="AJ15" i="10"/>
  <c r="AI15" i="10"/>
  <c r="AH15" i="10"/>
  <c r="R15" i="10"/>
  <c r="Q15" i="10"/>
  <c r="S15" i="10" s="1"/>
  <c r="Z15" i="10" s="1"/>
  <c r="F15" i="10"/>
  <c r="AK14" i="10"/>
  <c r="AJ14" i="10"/>
  <c r="AI14" i="10"/>
  <c r="AH14" i="10"/>
  <c r="R14" i="10"/>
  <c r="Q14" i="10"/>
  <c r="S14" i="10" s="1"/>
  <c r="Z14" i="10" s="1"/>
  <c r="F14" i="10"/>
  <c r="AK13" i="10"/>
  <c r="AJ13" i="10"/>
  <c r="AI13" i="10"/>
  <c r="AH13" i="10"/>
  <c r="R13" i="10"/>
  <c r="Q13" i="10"/>
  <c r="S13" i="10" s="1"/>
  <c r="Z13" i="10" s="1"/>
  <c r="F13" i="10"/>
  <c r="AK12" i="10"/>
  <c r="AJ12" i="10"/>
  <c r="AI12" i="10"/>
  <c r="AH12" i="10"/>
  <c r="R12" i="10"/>
  <c r="Q12" i="10"/>
  <c r="S12" i="10" s="1"/>
  <c r="Z12" i="10" s="1"/>
  <c r="F12" i="10"/>
  <c r="AK11" i="10"/>
  <c r="AJ11" i="10"/>
  <c r="AI11" i="10"/>
  <c r="AH11" i="10"/>
  <c r="R11" i="10"/>
  <c r="Q11" i="10"/>
  <c r="S11" i="10" s="1"/>
  <c r="Z11" i="10" s="1"/>
  <c r="F11" i="10"/>
  <c r="AK10" i="10"/>
  <c r="AJ10" i="10"/>
  <c r="AI10" i="10"/>
  <c r="AH10" i="10"/>
  <c r="R10" i="10"/>
  <c r="Q10" i="10"/>
  <c r="S10" i="10" s="1"/>
  <c r="Z10" i="10" s="1"/>
  <c r="F10" i="10"/>
  <c r="AK9" i="10"/>
  <c r="AJ9" i="10"/>
  <c r="AI9" i="10"/>
  <c r="AH9" i="10"/>
  <c r="R9" i="10"/>
  <c r="Q9" i="10"/>
  <c r="S9" i="10" s="1"/>
  <c r="Z9" i="10" s="1"/>
  <c r="F9" i="10"/>
  <c r="AK8" i="10"/>
  <c r="AJ8" i="10"/>
  <c r="AI8" i="10"/>
  <c r="AH8" i="10"/>
  <c r="R8" i="10"/>
  <c r="Q8" i="10"/>
  <c r="S8" i="10" s="1"/>
  <c r="Z8" i="10" s="1"/>
  <c r="F8" i="10"/>
  <c r="U8" i="10"/>
  <c r="V8" i="10" s="1"/>
  <c r="AK7" i="10"/>
  <c r="AJ7" i="10"/>
  <c r="AI7" i="10"/>
  <c r="AH7" i="10"/>
  <c r="R7" i="10"/>
  <c r="Q7" i="10"/>
  <c r="S7" i="10" s="1"/>
  <c r="Z7" i="10" s="1"/>
  <c r="F7" i="10"/>
  <c r="AK6" i="10"/>
  <c r="AJ6" i="10"/>
  <c r="AI6" i="10"/>
  <c r="AH6" i="10"/>
  <c r="R6" i="10"/>
  <c r="Q6" i="10"/>
  <c r="S6" i="10" s="1"/>
  <c r="Z6" i="10" s="1"/>
  <c r="F6" i="10"/>
  <c r="AK5" i="10"/>
  <c r="AJ5" i="10"/>
  <c r="AI5" i="10"/>
  <c r="AH5" i="10"/>
  <c r="R5" i="10"/>
  <c r="Q5" i="10"/>
  <c r="S5" i="10" s="1"/>
  <c r="Z5" i="10" s="1"/>
  <c r="F5" i="10"/>
  <c r="AK4" i="10"/>
  <c r="AJ4" i="10"/>
  <c r="AI4" i="10"/>
  <c r="AH4" i="10"/>
  <c r="AC4" i="10"/>
  <c r="AA4" i="10"/>
  <c r="Y4" i="10"/>
  <c r="R4" i="10"/>
  <c r="Q4" i="10"/>
  <c r="S4" i="10" s="1"/>
  <c r="F4" i="10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U7" i="9" s="1"/>
  <c r="V7" i="9" s="1"/>
  <c r="C6" i="9"/>
  <c r="C5" i="9"/>
  <c r="C4" i="9"/>
  <c r="AK31" i="9"/>
  <c r="AJ31" i="9"/>
  <c r="AI31" i="9"/>
  <c r="AH31" i="9"/>
  <c r="AC31" i="9"/>
  <c r="AA31" i="9"/>
  <c r="Y31" i="9"/>
  <c r="R31" i="9"/>
  <c r="Q31" i="9"/>
  <c r="S31" i="9" s="1"/>
  <c r="Z31" i="9" s="1"/>
  <c r="F31" i="9"/>
  <c r="AK30" i="9"/>
  <c r="AJ30" i="9"/>
  <c r="AI30" i="9"/>
  <c r="AH30" i="9"/>
  <c r="R30" i="9"/>
  <c r="Q30" i="9"/>
  <c r="S30" i="9" s="1"/>
  <c r="Z30" i="9" s="1"/>
  <c r="F30" i="9"/>
  <c r="AK29" i="9"/>
  <c r="AJ29" i="9"/>
  <c r="AI29" i="9"/>
  <c r="AH29" i="9"/>
  <c r="AL29" i="9" s="1"/>
  <c r="R29" i="9"/>
  <c r="Q29" i="9"/>
  <c r="S29" i="9" s="1"/>
  <c r="Z29" i="9" s="1"/>
  <c r="F29" i="9"/>
  <c r="AK28" i="9"/>
  <c r="AJ28" i="9"/>
  <c r="AI28" i="9"/>
  <c r="AH28" i="9"/>
  <c r="R28" i="9"/>
  <c r="Q28" i="9"/>
  <c r="S28" i="9" s="1"/>
  <c r="Z28" i="9" s="1"/>
  <c r="F28" i="9"/>
  <c r="AK27" i="9"/>
  <c r="AJ27" i="9"/>
  <c r="AI27" i="9"/>
  <c r="AH27" i="9"/>
  <c r="AL27" i="9" s="1"/>
  <c r="R27" i="9"/>
  <c r="Q27" i="9"/>
  <c r="S27" i="9" s="1"/>
  <c r="Z27" i="9" s="1"/>
  <c r="F27" i="9"/>
  <c r="AK26" i="9"/>
  <c r="AJ26" i="9"/>
  <c r="AI26" i="9"/>
  <c r="AH26" i="9"/>
  <c r="R26" i="9"/>
  <c r="Q26" i="9"/>
  <c r="S26" i="9" s="1"/>
  <c r="Z26" i="9" s="1"/>
  <c r="F26" i="9"/>
  <c r="AK25" i="9"/>
  <c r="AJ25" i="9"/>
  <c r="AI25" i="9"/>
  <c r="AH25" i="9"/>
  <c r="AL25" i="9" s="1"/>
  <c r="R25" i="9"/>
  <c r="Q25" i="9"/>
  <c r="S25" i="9" s="1"/>
  <c r="Z25" i="9" s="1"/>
  <c r="F25" i="9"/>
  <c r="AK24" i="9"/>
  <c r="AJ24" i="9"/>
  <c r="AI24" i="9"/>
  <c r="AH24" i="9"/>
  <c r="R24" i="9"/>
  <c r="Q24" i="9"/>
  <c r="S24" i="9" s="1"/>
  <c r="Z24" i="9" s="1"/>
  <c r="F24" i="9"/>
  <c r="AK23" i="9"/>
  <c r="AJ23" i="9"/>
  <c r="AI23" i="9"/>
  <c r="AH23" i="9"/>
  <c r="AL23" i="9" s="1"/>
  <c r="R23" i="9"/>
  <c r="Q23" i="9"/>
  <c r="S23" i="9" s="1"/>
  <c r="Z23" i="9" s="1"/>
  <c r="F23" i="9"/>
  <c r="AK22" i="9"/>
  <c r="AJ22" i="9"/>
  <c r="AI22" i="9"/>
  <c r="AH22" i="9"/>
  <c r="R22" i="9"/>
  <c r="Q22" i="9"/>
  <c r="S22" i="9" s="1"/>
  <c r="Z22" i="9" s="1"/>
  <c r="F22" i="9"/>
  <c r="AK21" i="9"/>
  <c r="AJ21" i="9"/>
  <c r="AI21" i="9"/>
  <c r="AH21" i="9"/>
  <c r="AL21" i="9" s="1"/>
  <c r="R21" i="9"/>
  <c r="Q21" i="9"/>
  <c r="S21" i="9" s="1"/>
  <c r="Z21" i="9" s="1"/>
  <c r="F21" i="9"/>
  <c r="AK20" i="9"/>
  <c r="AJ20" i="9"/>
  <c r="AI20" i="9"/>
  <c r="AH20" i="9"/>
  <c r="R20" i="9"/>
  <c r="Q20" i="9"/>
  <c r="S20" i="9" s="1"/>
  <c r="Z20" i="9" s="1"/>
  <c r="F20" i="9"/>
  <c r="AK19" i="9"/>
  <c r="AJ19" i="9"/>
  <c r="AI19" i="9"/>
  <c r="AH19" i="9"/>
  <c r="AL19" i="9" s="1"/>
  <c r="R19" i="9"/>
  <c r="Q19" i="9"/>
  <c r="S19" i="9" s="1"/>
  <c r="Z19" i="9" s="1"/>
  <c r="F19" i="9"/>
  <c r="AK18" i="9"/>
  <c r="AJ18" i="9"/>
  <c r="AI18" i="9"/>
  <c r="AH18" i="9"/>
  <c r="R18" i="9"/>
  <c r="Q18" i="9"/>
  <c r="S18" i="9" s="1"/>
  <c r="Z18" i="9" s="1"/>
  <c r="F18" i="9"/>
  <c r="AK17" i="9"/>
  <c r="AJ17" i="9"/>
  <c r="AI17" i="9"/>
  <c r="AH17" i="9"/>
  <c r="AL17" i="9" s="1"/>
  <c r="R17" i="9"/>
  <c r="Q17" i="9"/>
  <c r="S17" i="9" s="1"/>
  <c r="Z17" i="9" s="1"/>
  <c r="F17" i="9"/>
  <c r="AK16" i="9"/>
  <c r="AJ16" i="9"/>
  <c r="AI16" i="9"/>
  <c r="AH16" i="9"/>
  <c r="R16" i="9"/>
  <c r="Q16" i="9"/>
  <c r="S16" i="9" s="1"/>
  <c r="Z16" i="9" s="1"/>
  <c r="F16" i="9"/>
  <c r="AK15" i="9"/>
  <c r="AJ15" i="9"/>
  <c r="AI15" i="9"/>
  <c r="AH15" i="9"/>
  <c r="AL15" i="9" s="1"/>
  <c r="R15" i="9"/>
  <c r="Q15" i="9"/>
  <c r="S15" i="9" s="1"/>
  <c r="Z15" i="9" s="1"/>
  <c r="F15" i="9"/>
  <c r="AK14" i="9"/>
  <c r="AJ14" i="9"/>
  <c r="AI14" i="9"/>
  <c r="AH14" i="9"/>
  <c r="R14" i="9"/>
  <c r="Q14" i="9"/>
  <c r="S14" i="9" s="1"/>
  <c r="Z14" i="9" s="1"/>
  <c r="F14" i="9"/>
  <c r="U14" i="9"/>
  <c r="V14" i="9" s="1"/>
  <c r="AK13" i="9"/>
  <c r="AJ13" i="9"/>
  <c r="AI13" i="9"/>
  <c r="AH13" i="9"/>
  <c r="R13" i="9"/>
  <c r="Q13" i="9"/>
  <c r="S13" i="9" s="1"/>
  <c r="Z13" i="9" s="1"/>
  <c r="F13" i="9"/>
  <c r="U13" i="9"/>
  <c r="V13" i="9" s="1"/>
  <c r="AK12" i="9"/>
  <c r="AJ12" i="9"/>
  <c r="AI12" i="9"/>
  <c r="AH12" i="9"/>
  <c r="R12" i="9"/>
  <c r="Q12" i="9"/>
  <c r="S12" i="9" s="1"/>
  <c r="Z12" i="9" s="1"/>
  <c r="F12" i="9"/>
  <c r="U12" i="9"/>
  <c r="V12" i="9" s="1"/>
  <c r="AK11" i="9"/>
  <c r="AJ11" i="9"/>
  <c r="AI11" i="9"/>
  <c r="AH11" i="9"/>
  <c r="R11" i="9"/>
  <c r="Q11" i="9"/>
  <c r="S11" i="9" s="1"/>
  <c r="Z11" i="9" s="1"/>
  <c r="F11" i="9"/>
  <c r="U11" i="9"/>
  <c r="V11" i="9" s="1"/>
  <c r="AK10" i="9"/>
  <c r="AJ10" i="9"/>
  <c r="AI10" i="9"/>
  <c r="AH10" i="9"/>
  <c r="R10" i="9"/>
  <c r="Q10" i="9"/>
  <c r="S10" i="9" s="1"/>
  <c r="Z10" i="9" s="1"/>
  <c r="F10" i="9"/>
  <c r="U10" i="9"/>
  <c r="V10" i="9" s="1"/>
  <c r="AK9" i="9"/>
  <c r="AJ9" i="9"/>
  <c r="AI9" i="9"/>
  <c r="AH9" i="9"/>
  <c r="R9" i="9"/>
  <c r="Q9" i="9"/>
  <c r="S9" i="9" s="1"/>
  <c r="Z9" i="9" s="1"/>
  <c r="F9" i="9"/>
  <c r="U9" i="9"/>
  <c r="V9" i="9" s="1"/>
  <c r="AK8" i="9"/>
  <c r="AJ8" i="9"/>
  <c r="AI8" i="9"/>
  <c r="AH8" i="9"/>
  <c r="R8" i="9"/>
  <c r="Q8" i="9"/>
  <c r="S8" i="9" s="1"/>
  <c r="Z8" i="9" s="1"/>
  <c r="F8" i="9"/>
  <c r="U8" i="9"/>
  <c r="V8" i="9" s="1"/>
  <c r="AK7" i="9"/>
  <c r="AJ7" i="9"/>
  <c r="AI7" i="9"/>
  <c r="AH7" i="9"/>
  <c r="R7" i="9"/>
  <c r="Q7" i="9"/>
  <c r="S7" i="9" s="1"/>
  <c r="Z7" i="9" s="1"/>
  <c r="F7" i="9"/>
  <c r="AK6" i="9"/>
  <c r="AJ6" i="9"/>
  <c r="AI6" i="9"/>
  <c r="AH6" i="9"/>
  <c r="AL6" i="9" s="1"/>
  <c r="R6" i="9"/>
  <c r="Q6" i="9"/>
  <c r="S6" i="9" s="1"/>
  <c r="Z6" i="9" s="1"/>
  <c r="F6" i="9"/>
  <c r="U6" i="9"/>
  <c r="V6" i="9" s="1"/>
  <c r="AK5" i="9"/>
  <c r="AJ5" i="9"/>
  <c r="AI5" i="9"/>
  <c r="AH5" i="9"/>
  <c r="AL5" i="9" s="1"/>
  <c r="R5" i="9"/>
  <c r="Q5" i="9"/>
  <c r="S5" i="9" s="1"/>
  <c r="Z5" i="9" s="1"/>
  <c r="F5" i="9"/>
  <c r="U5" i="9"/>
  <c r="V5" i="9" s="1"/>
  <c r="AK4" i="9"/>
  <c r="AJ4" i="9"/>
  <c r="AI4" i="9"/>
  <c r="AH4" i="9"/>
  <c r="AL4" i="9" s="1"/>
  <c r="AC4" i="9"/>
  <c r="AA4" i="9"/>
  <c r="Y4" i="9"/>
  <c r="R4" i="9"/>
  <c r="Q4" i="9"/>
  <c r="S4" i="9" s="1"/>
  <c r="Z4" i="9" s="1"/>
  <c r="F4" i="9"/>
  <c r="U25" i="9"/>
  <c r="V25" i="9" s="1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AK30" i="8"/>
  <c r="AJ30" i="8"/>
  <c r="AI30" i="8"/>
  <c r="AH30" i="8"/>
  <c r="AL30" i="8" s="1"/>
  <c r="AC30" i="8"/>
  <c r="AA30" i="8"/>
  <c r="Y30" i="8"/>
  <c r="R30" i="8"/>
  <c r="Q30" i="8"/>
  <c r="S30" i="8" s="1"/>
  <c r="Z30" i="8" s="1"/>
  <c r="F30" i="8"/>
  <c r="AK29" i="8"/>
  <c r="AJ29" i="8"/>
  <c r="AI29" i="8"/>
  <c r="AH29" i="8"/>
  <c r="R29" i="8"/>
  <c r="Q29" i="8"/>
  <c r="S29" i="8" s="1"/>
  <c r="Z29" i="8" s="1"/>
  <c r="F29" i="8"/>
  <c r="AK28" i="8"/>
  <c r="AJ28" i="8"/>
  <c r="AI28" i="8"/>
  <c r="AH28" i="8"/>
  <c r="R28" i="8"/>
  <c r="Q28" i="8"/>
  <c r="S28" i="8" s="1"/>
  <c r="Z28" i="8" s="1"/>
  <c r="F28" i="8"/>
  <c r="AK27" i="8"/>
  <c r="AJ27" i="8"/>
  <c r="AI27" i="8"/>
  <c r="AH27" i="8"/>
  <c r="R27" i="8"/>
  <c r="Q27" i="8"/>
  <c r="S27" i="8" s="1"/>
  <c r="Z27" i="8" s="1"/>
  <c r="F27" i="8"/>
  <c r="AK26" i="8"/>
  <c r="AJ26" i="8"/>
  <c r="AI26" i="8"/>
  <c r="AH26" i="8"/>
  <c r="R26" i="8"/>
  <c r="Q26" i="8"/>
  <c r="S26" i="8" s="1"/>
  <c r="Z26" i="8" s="1"/>
  <c r="F26" i="8"/>
  <c r="AK25" i="8"/>
  <c r="AJ25" i="8"/>
  <c r="AI25" i="8"/>
  <c r="AH25" i="8"/>
  <c r="R25" i="8"/>
  <c r="Q25" i="8"/>
  <c r="S25" i="8" s="1"/>
  <c r="Z25" i="8" s="1"/>
  <c r="F25" i="8"/>
  <c r="AK24" i="8"/>
  <c r="AJ24" i="8"/>
  <c r="AI24" i="8"/>
  <c r="AH24" i="8"/>
  <c r="R24" i="8"/>
  <c r="Q24" i="8"/>
  <c r="S24" i="8" s="1"/>
  <c r="Z24" i="8" s="1"/>
  <c r="F24" i="8"/>
  <c r="AK23" i="8"/>
  <c r="AJ23" i="8"/>
  <c r="AI23" i="8"/>
  <c r="AH23" i="8"/>
  <c r="R23" i="8"/>
  <c r="Q23" i="8"/>
  <c r="S23" i="8" s="1"/>
  <c r="Z23" i="8" s="1"/>
  <c r="F23" i="8"/>
  <c r="AK22" i="8"/>
  <c r="AJ22" i="8"/>
  <c r="AI22" i="8"/>
  <c r="AH22" i="8"/>
  <c r="R22" i="8"/>
  <c r="Q22" i="8"/>
  <c r="S22" i="8" s="1"/>
  <c r="Z22" i="8" s="1"/>
  <c r="F22" i="8"/>
  <c r="AK21" i="8"/>
  <c r="AJ21" i="8"/>
  <c r="AI21" i="8"/>
  <c r="AH21" i="8"/>
  <c r="R21" i="8"/>
  <c r="Q21" i="8"/>
  <c r="S21" i="8" s="1"/>
  <c r="Z21" i="8" s="1"/>
  <c r="F21" i="8"/>
  <c r="AK20" i="8"/>
  <c r="AJ20" i="8"/>
  <c r="AI20" i="8"/>
  <c r="AH20" i="8"/>
  <c r="R20" i="8"/>
  <c r="Q20" i="8"/>
  <c r="S20" i="8" s="1"/>
  <c r="Z20" i="8" s="1"/>
  <c r="F20" i="8"/>
  <c r="AK19" i="8"/>
  <c r="AJ19" i="8"/>
  <c r="AI19" i="8"/>
  <c r="AH19" i="8"/>
  <c r="R19" i="8"/>
  <c r="Q19" i="8"/>
  <c r="S19" i="8" s="1"/>
  <c r="Z19" i="8" s="1"/>
  <c r="F19" i="8"/>
  <c r="AK18" i="8"/>
  <c r="AJ18" i="8"/>
  <c r="AI18" i="8"/>
  <c r="AH18" i="8"/>
  <c r="R18" i="8"/>
  <c r="Q18" i="8"/>
  <c r="S18" i="8" s="1"/>
  <c r="Z18" i="8" s="1"/>
  <c r="F18" i="8"/>
  <c r="AK17" i="8"/>
  <c r="AJ17" i="8"/>
  <c r="AI17" i="8"/>
  <c r="AH17" i="8"/>
  <c r="R17" i="8"/>
  <c r="Q17" i="8"/>
  <c r="S17" i="8" s="1"/>
  <c r="Z17" i="8" s="1"/>
  <c r="F17" i="8"/>
  <c r="AK16" i="8"/>
  <c r="AJ16" i="8"/>
  <c r="AI16" i="8"/>
  <c r="AH16" i="8"/>
  <c r="R16" i="8"/>
  <c r="Q16" i="8"/>
  <c r="S16" i="8" s="1"/>
  <c r="Z16" i="8" s="1"/>
  <c r="F16" i="8"/>
  <c r="AK15" i="8"/>
  <c r="AJ15" i="8"/>
  <c r="AI15" i="8"/>
  <c r="AH15" i="8"/>
  <c r="AL15" i="8" s="1"/>
  <c r="R15" i="8"/>
  <c r="Q15" i="8"/>
  <c r="S15" i="8" s="1"/>
  <c r="Z15" i="8" s="1"/>
  <c r="F15" i="8"/>
  <c r="AK14" i="8"/>
  <c r="AJ14" i="8"/>
  <c r="AI14" i="8"/>
  <c r="AH14" i="8"/>
  <c r="R14" i="8"/>
  <c r="Q14" i="8"/>
  <c r="S14" i="8" s="1"/>
  <c r="Z14" i="8" s="1"/>
  <c r="F14" i="8"/>
  <c r="AK13" i="8"/>
  <c r="AJ13" i="8"/>
  <c r="AI13" i="8"/>
  <c r="AH13" i="8"/>
  <c r="AL13" i="8" s="1"/>
  <c r="R13" i="8"/>
  <c r="Q13" i="8"/>
  <c r="S13" i="8" s="1"/>
  <c r="Z13" i="8" s="1"/>
  <c r="F13" i="8"/>
  <c r="AK12" i="8"/>
  <c r="AJ12" i="8"/>
  <c r="AI12" i="8"/>
  <c r="AH12" i="8"/>
  <c r="R12" i="8"/>
  <c r="Q12" i="8"/>
  <c r="S12" i="8" s="1"/>
  <c r="Z12" i="8" s="1"/>
  <c r="F12" i="8"/>
  <c r="AK11" i="8"/>
  <c r="AJ11" i="8"/>
  <c r="AI11" i="8"/>
  <c r="AH11" i="8"/>
  <c r="AL11" i="8" s="1"/>
  <c r="R11" i="8"/>
  <c r="Q11" i="8"/>
  <c r="S11" i="8" s="1"/>
  <c r="Z11" i="8" s="1"/>
  <c r="F11" i="8"/>
  <c r="AK10" i="8"/>
  <c r="AJ10" i="8"/>
  <c r="AI10" i="8"/>
  <c r="AH10" i="8"/>
  <c r="R10" i="8"/>
  <c r="Q10" i="8"/>
  <c r="S10" i="8" s="1"/>
  <c r="Z10" i="8" s="1"/>
  <c r="F10" i="8"/>
  <c r="AK9" i="8"/>
  <c r="AJ9" i="8"/>
  <c r="AI9" i="8"/>
  <c r="AH9" i="8"/>
  <c r="AL9" i="8" s="1"/>
  <c r="R9" i="8"/>
  <c r="Q9" i="8"/>
  <c r="S9" i="8" s="1"/>
  <c r="Z9" i="8" s="1"/>
  <c r="F9" i="8"/>
  <c r="AK8" i="8"/>
  <c r="AJ8" i="8"/>
  <c r="AI8" i="8"/>
  <c r="AH8" i="8"/>
  <c r="R8" i="8"/>
  <c r="Q8" i="8"/>
  <c r="S8" i="8" s="1"/>
  <c r="Z8" i="8" s="1"/>
  <c r="F8" i="8"/>
  <c r="AK7" i="8"/>
  <c r="AJ7" i="8"/>
  <c r="AI7" i="8"/>
  <c r="AH7" i="8"/>
  <c r="AL7" i="8" s="1"/>
  <c r="R7" i="8"/>
  <c r="Q7" i="8"/>
  <c r="S7" i="8" s="1"/>
  <c r="Z7" i="8" s="1"/>
  <c r="F7" i="8"/>
  <c r="AK6" i="8"/>
  <c r="AJ6" i="8"/>
  <c r="AI6" i="8"/>
  <c r="AH6" i="8"/>
  <c r="R6" i="8"/>
  <c r="Q6" i="8"/>
  <c r="S6" i="8" s="1"/>
  <c r="Z6" i="8" s="1"/>
  <c r="F6" i="8"/>
  <c r="AK5" i="8"/>
  <c r="AJ5" i="8"/>
  <c r="AI5" i="8"/>
  <c r="AH5" i="8"/>
  <c r="AL5" i="8" s="1"/>
  <c r="R5" i="8"/>
  <c r="Q5" i="8"/>
  <c r="S5" i="8" s="1"/>
  <c r="Z5" i="8" s="1"/>
  <c r="F5" i="8"/>
  <c r="AK4" i="8"/>
  <c r="AJ4" i="8"/>
  <c r="AI4" i="8"/>
  <c r="AH4" i="8"/>
  <c r="AC4" i="8"/>
  <c r="AA4" i="8"/>
  <c r="Y4" i="8"/>
  <c r="R4" i="8"/>
  <c r="Q4" i="8"/>
  <c r="S4" i="8" s="1"/>
  <c r="Z4" i="8" s="1"/>
  <c r="F4" i="8"/>
  <c r="U4" i="8"/>
  <c r="V4" i="8" s="1"/>
  <c r="W4" i="8" s="1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AK21" i="7"/>
  <c r="AJ21" i="7"/>
  <c r="AI21" i="7"/>
  <c r="AH21" i="7"/>
  <c r="AC21" i="7"/>
  <c r="AA21" i="7"/>
  <c r="Y21" i="7"/>
  <c r="R21" i="7"/>
  <c r="Q21" i="7"/>
  <c r="S21" i="7" s="1"/>
  <c r="Z21" i="7" s="1"/>
  <c r="F21" i="7"/>
  <c r="AK20" i="7"/>
  <c r="AJ20" i="7"/>
  <c r="AI20" i="7"/>
  <c r="AH20" i="7"/>
  <c r="AL20" i="7" s="1"/>
  <c r="R20" i="7"/>
  <c r="Q20" i="7"/>
  <c r="S20" i="7" s="1"/>
  <c r="Z20" i="7" s="1"/>
  <c r="F20" i="7"/>
  <c r="AK19" i="7"/>
  <c r="AJ19" i="7"/>
  <c r="AI19" i="7"/>
  <c r="AH19" i="7"/>
  <c r="R19" i="7"/>
  <c r="Q19" i="7"/>
  <c r="S19" i="7" s="1"/>
  <c r="Z19" i="7" s="1"/>
  <c r="F19" i="7"/>
  <c r="AK18" i="7"/>
  <c r="AJ18" i="7"/>
  <c r="AI18" i="7"/>
  <c r="AH18" i="7"/>
  <c r="R18" i="7"/>
  <c r="Q18" i="7"/>
  <c r="S18" i="7" s="1"/>
  <c r="Z18" i="7" s="1"/>
  <c r="F18" i="7"/>
  <c r="AK17" i="7"/>
  <c r="AJ17" i="7"/>
  <c r="AI17" i="7"/>
  <c r="AH17" i="7"/>
  <c r="R17" i="7"/>
  <c r="Q17" i="7"/>
  <c r="S17" i="7" s="1"/>
  <c r="Z17" i="7" s="1"/>
  <c r="F17" i="7"/>
  <c r="AK16" i="7"/>
  <c r="AJ16" i="7"/>
  <c r="AI16" i="7"/>
  <c r="AH16" i="7"/>
  <c r="AL16" i="7" s="1"/>
  <c r="R16" i="7"/>
  <c r="Q16" i="7"/>
  <c r="S16" i="7" s="1"/>
  <c r="Z16" i="7" s="1"/>
  <c r="F16" i="7"/>
  <c r="AK15" i="7"/>
  <c r="AJ15" i="7"/>
  <c r="AI15" i="7"/>
  <c r="AH15" i="7"/>
  <c r="R15" i="7"/>
  <c r="Q15" i="7"/>
  <c r="S15" i="7" s="1"/>
  <c r="Z15" i="7" s="1"/>
  <c r="F15" i="7"/>
  <c r="AK14" i="7"/>
  <c r="AJ14" i="7"/>
  <c r="AI14" i="7"/>
  <c r="AH14" i="7"/>
  <c r="AL14" i="7" s="1"/>
  <c r="R14" i="7"/>
  <c r="Q14" i="7"/>
  <c r="S14" i="7" s="1"/>
  <c r="Z14" i="7" s="1"/>
  <c r="F14" i="7"/>
  <c r="AK13" i="7"/>
  <c r="AJ13" i="7"/>
  <c r="AI13" i="7"/>
  <c r="AH13" i="7"/>
  <c r="R13" i="7"/>
  <c r="Q13" i="7"/>
  <c r="S13" i="7" s="1"/>
  <c r="Z13" i="7" s="1"/>
  <c r="F13" i="7"/>
  <c r="AK12" i="7"/>
  <c r="AJ12" i="7"/>
  <c r="AI12" i="7"/>
  <c r="AH12" i="7"/>
  <c r="AL12" i="7" s="1"/>
  <c r="R12" i="7"/>
  <c r="Q12" i="7"/>
  <c r="S12" i="7" s="1"/>
  <c r="Z12" i="7" s="1"/>
  <c r="F12" i="7"/>
  <c r="AK11" i="7"/>
  <c r="AJ11" i="7"/>
  <c r="AI11" i="7"/>
  <c r="AH11" i="7"/>
  <c r="R11" i="7"/>
  <c r="Q11" i="7"/>
  <c r="S11" i="7" s="1"/>
  <c r="Z11" i="7" s="1"/>
  <c r="F11" i="7"/>
  <c r="AK10" i="7"/>
  <c r="AJ10" i="7"/>
  <c r="AI10" i="7"/>
  <c r="AH10" i="7"/>
  <c r="AL10" i="7" s="1"/>
  <c r="R10" i="7"/>
  <c r="Q10" i="7"/>
  <c r="S10" i="7" s="1"/>
  <c r="Z10" i="7" s="1"/>
  <c r="F10" i="7"/>
  <c r="AK9" i="7"/>
  <c r="AJ9" i="7"/>
  <c r="AI9" i="7"/>
  <c r="AH9" i="7"/>
  <c r="R9" i="7"/>
  <c r="Q9" i="7"/>
  <c r="S9" i="7" s="1"/>
  <c r="Z9" i="7" s="1"/>
  <c r="F9" i="7"/>
  <c r="AK8" i="7"/>
  <c r="AJ8" i="7"/>
  <c r="AI8" i="7"/>
  <c r="AH8" i="7"/>
  <c r="AL8" i="7" s="1"/>
  <c r="R8" i="7"/>
  <c r="Q8" i="7"/>
  <c r="S8" i="7" s="1"/>
  <c r="Z8" i="7" s="1"/>
  <c r="F8" i="7"/>
  <c r="AK7" i="7"/>
  <c r="AJ7" i="7"/>
  <c r="AI7" i="7"/>
  <c r="AH7" i="7"/>
  <c r="R7" i="7"/>
  <c r="Q7" i="7"/>
  <c r="S7" i="7" s="1"/>
  <c r="Z7" i="7" s="1"/>
  <c r="F7" i="7"/>
  <c r="AK6" i="7"/>
  <c r="AJ6" i="7"/>
  <c r="AI6" i="7"/>
  <c r="AH6" i="7"/>
  <c r="AL6" i="7" s="1"/>
  <c r="R6" i="7"/>
  <c r="Q6" i="7"/>
  <c r="S6" i="7" s="1"/>
  <c r="Z6" i="7" s="1"/>
  <c r="F6" i="7"/>
  <c r="AK5" i="7"/>
  <c r="AJ5" i="7"/>
  <c r="AI5" i="7"/>
  <c r="AH5" i="7"/>
  <c r="R5" i="7"/>
  <c r="Q5" i="7"/>
  <c r="S5" i="7" s="1"/>
  <c r="Z5" i="7" s="1"/>
  <c r="F5" i="7"/>
  <c r="AK4" i="7"/>
  <c r="AJ4" i="7"/>
  <c r="AI4" i="7"/>
  <c r="AH4" i="7"/>
  <c r="AL4" i="7" s="1"/>
  <c r="AC4" i="7"/>
  <c r="AA4" i="7"/>
  <c r="Y4" i="7"/>
  <c r="R4" i="7"/>
  <c r="Q4" i="7"/>
  <c r="S4" i="7" s="1"/>
  <c r="Z4" i="7" s="1"/>
  <c r="F4" i="7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AK20" i="5"/>
  <c r="AJ20" i="5"/>
  <c r="AI20" i="5"/>
  <c r="AH20" i="5"/>
  <c r="AC20" i="5"/>
  <c r="AA20" i="5"/>
  <c r="Y20" i="5"/>
  <c r="R20" i="5"/>
  <c r="Q20" i="5"/>
  <c r="S20" i="5" s="1"/>
  <c r="Z20" i="5" s="1"/>
  <c r="F20" i="5"/>
  <c r="AK19" i="5"/>
  <c r="AJ19" i="5"/>
  <c r="AI19" i="5"/>
  <c r="AH19" i="5"/>
  <c r="R19" i="5"/>
  <c r="Q19" i="5"/>
  <c r="S19" i="5" s="1"/>
  <c r="Z19" i="5" s="1"/>
  <c r="F19" i="5"/>
  <c r="AK18" i="5"/>
  <c r="AJ18" i="5"/>
  <c r="AI18" i="5"/>
  <c r="AH18" i="5"/>
  <c r="R18" i="5"/>
  <c r="Q18" i="5"/>
  <c r="S18" i="5" s="1"/>
  <c r="Z18" i="5" s="1"/>
  <c r="F18" i="5"/>
  <c r="AK17" i="5"/>
  <c r="AJ17" i="5"/>
  <c r="AI17" i="5"/>
  <c r="AH17" i="5"/>
  <c r="R17" i="5"/>
  <c r="Q17" i="5"/>
  <c r="S17" i="5" s="1"/>
  <c r="Z17" i="5" s="1"/>
  <c r="F17" i="5"/>
  <c r="AK16" i="5"/>
  <c r="AJ16" i="5"/>
  <c r="AI16" i="5"/>
  <c r="AH16" i="5"/>
  <c r="R16" i="5"/>
  <c r="Q16" i="5"/>
  <c r="S16" i="5" s="1"/>
  <c r="Z16" i="5" s="1"/>
  <c r="F16" i="5"/>
  <c r="AK15" i="5"/>
  <c r="AJ15" i="5"/>
  <c r="AI15" i="5"/>
  <c r="AH15" i="5"/>
  <c r="R15" i="5"/>
  <c r="Q15" i="5"/>
  <c r="S15" i="5" s="1"/>
  <c r="Z15" i="5" s="1"/>
  <c r="F15" i="5"/>
  <c r="AK14" i="5"/>
  <c r="AJ14" i="5"/>
  <c r="AI14" i="5"/>
  <c r="AH14" i="5"/>
  <c r="R14" i="5"/>
  <c r="Q14" i="5"/>
  <c r="S14" i="5" s="1"/>
  <c r="Z14" i="5" s="1"/>
  <c r="F14" i="5"/>
  <c r="AK13" i="5"/>
  <c r="AJ13" i="5"/>
  <c r="AI13" i="5"/>
  <c r="AH13" i="5"/>
  <c r="R13" i="5"/>
  <c r="Q13" i="5"/>
  <c r="S13" i="5" s="1"/>
  <c r="Z13" i="5" s="1"/>
  <c r="F13" i="5"/>
  <c r="AK12" i="5"/>
  <c r="AJ12" i="5"/>
  <c r="AI12" i="5"/>
  <c r="AH12" i="5"/>
  <c r="R12" i="5"/>
  <c r="Q12" i="5"/>
  <c r="S12" i="5" s="1"/>
  <c r="Z12" i="5" s="1"/>
  <c r="F12" i="5"/>
  <c r="AK11" i="5"/>
  <c r="AJ11" i="5"/>
  <c r="AI11" i="5"/>
  <c r="AH11" i="5"/>
  <c r="R11" i="5"/>
  <c r="Q11" i="5"/>
  <c r="S11" i="5" s="1"/>
  <c r="Z11" i="5" s="1"/>
  <c r="F11" i="5"/>
  <c r="AK10" i="5"/>
  <c r="AJ10" i="5"/>
  <c r="AI10" i="5"/>
  <c r="AH10" i="5"/>
  <c r="R10" i="5"/>
  <c r="Q10" i="5"/>
  <c r="S10" i="5" s="1"/>
  <c r="Z10" i="5" s="1"/>
  <c r="F10" i="5"/>
  <c r="AK9" i="5"/>
  <c r="AJ9" i="5"/>
  <c r="AI9" i="5"/>
  <c r="AH9" i="5"/>
  <c r="R9" i="5"/>
  <c r="Q9" i="5"/>
  <c r="S9" i="5" s="1"/>
  <c r="Z9" i="5" s="1"/>
  <c r="F9" i="5"/>
  <c r="AK8" i="5"/>
  <c r="AJ8" i="5"/>
  <c r="AI8" i="5"/>
  <c r="AH8" i="5"/>
  <c r="R8" i="5"/>
  <c r="Q8" i="5"/>
  <c r="S8" i="5" s="1"/>
  <c r="Z8" i="5" s="1"/>
  <c r="F8" i="5"/>
  <c r="AK7" i="5"/>
  <c r="AJ7" i="5"/>
  <c r="AI7" i="5"/>
  <c r="AH7" i="5"/>
  <c r="R7" i="5"/>
  <c r="Q7" i="5"/>
  <c r="S7" i="5" s="1"/>
  <c r="Z7" i="5" s="1"/>
  <c r="F7" i="5"/>
  <c r="AK6" i="5"/>
  <c r="AJ6" i="5"/>
  <c r="AI6" i="5"/>
  <c r="AH6" i="5"/>
  <c r="R6" i="5"/>
  <c r="Q6" i="5"/>
  <c r="S6" i="5" s="1"/>
  <c r="Z6" i="5" s="1"/>
  <c r="F6" i="5"/>
  <c r="AK5" i="5"/>
  <c r="AJ5" i="5"/>
  <c r="AI5" i="5"/>
  <c r="AH5" i="5"/>
  <c r="R5" i="5"/>
  <c r="Q5" i="5"/>
  <c r="S5" i="5" s="1"/>
  <c r="Z5" i="5" s="1"/>
  <c r="F5" i="5"/>
  <c r="AK4" i="5"/>
  <c r="AJ4" i="5"/>
  <c r="AI4" i="5"/>
  <c r="AH4" i="5"/>
  <c r="AC4" i="5"/>
  <c r="AA4" i="5"/>
  <c r="Y4" i="5"/>
  <c r="R4" i="5"/>
  <c r="Q4" i="5"/>
  <c r="S4" i="5" s="1"/>
  <c r="Z4" i="5" s="1"/>
  <c r="F4" i="5"/>
  <c r="U4" i="5"/>
  <c r="V4" i="5" s="1"/>
  <c r="W4" i="5" s="1"/>
  <c r="AM4" i="4"/>
  <c r="AK28" i="4"/>
  <c r="AJ28" i="4"/>
  <c r="AI28" i="4"/>
  <c r="AH28" i="4"/>
  <c r="AL28" i="4" s="1"/>
  <c r="AC28" i="4"/>
  <c r="AA28" i="4"/>
  <c r="Y28" i="4"/>
  <c r="R28" i="4"/>
  <c r="Q28" i="4"/>
  <c r="S28" i="4" s="1"/>
  <c r="Z28" i="4" s="1"/>
  <c r="F28" i="4"/>
  <c r="H28" i="4" s="1"/>
  <c r="C28" i="4"/>
  <c r="G28" i="4" s="1"/>
  <c r="AK27" i="4"/>
  <c r="AJ27" i="4"/>
  <c r="AI27" i="4"/>
  <c r="AH27" i="4"/>
  <c r="R27" i="4"/>
  <c r="Q27" i="4"/>
  <c r="S27" i="4" s="1"/>
  <c r="Z27" i="4" s="1"/>
  <c r="F27" i="4"/>
  <c r="H27" i="4" s="1"/>
  <c r="C27" i="4"/>
  <c r="G27" i="4" s="1"/>
  <c r="AK26" i="4"/>
  <c r="AJ26" i="4"/>
  <c r="AI26" i="4"/>
  <c r="AH26" i="4"/>
  <c r="R26" i="4"/>
  <c r="Q26" i="4"/>
  <c r="S26" i="4" s="1"/>
  <c r="Z26" i="4" s="1"/>
  <c r="F26" i="4"/>
  <c r="C26" i="4"/>
  <c r="G26" i="4" s="1"/>
  <c r="AK25" i="4"/>
  <c r="AJ25" i="4"/>
  <c r="AI25" i="4"/>
  <c r="AH25" i="4"/>
  <c r="R25" i="4"/>
  <c r="Q25" i="4"/>
  <c r="S25" i="4" s="1"/>
  <c r="Z25" i="4" s="1"/>
  <c r="F25" i="4"/>
  <c r="C25" i="4"/>
  <c r="G25" i="4" s="1"/>
  <c r="AK24" i="4"/>
  <c r="AJ24" i="4"/>
  <c r="AI24" i="4"/>
  <c r="AH24" i="4"/>
  <c r="R24" i="4"/>
  <c r="Q24" i="4"/>
  <c r="S24" i="4" s="1"/>
  <c r="Z24" i="4" s="1"/>
  <c r="F24" i="4"/>
  <c r="C24" i="4"/>
  <c r="G24" i="4" s="1"/>
  <c r="AK23" i="4"/>
  <c r="AJ23" i="4"/>
  <c r="AI23" i="4"/>
  <c r="AH23" i="4"/>
  <c r="R23" i="4"/>
  <c r="Q23" i="4"/>
  <c r="S23" i="4" s="1"/>
  <c r="Z23" i="4" s="1"/>
  <c r="F23" i="4"/>
  <c r="C23" i="4"/>
  <c r="G23" i="4" s="1"/>
  <c r="AK22" i="4"/>
  <c r="AJ22" i="4"/>
  <c r="AI22" i="4"/>
  <c r="AH22" i="4"/>
  <c r="R22" i="4"/>
  <c r="Q22" i="4"/>
  <c r="S22" i="4" s="1"/>
  <c r="Z22" i="4" s="1"/>
  <c r="F22" i="4"/>
  <c r="C22" i="4"/>
  <c r="G22" i="4" s="1"/>
  <c r="AK21" i="4"/>
  <c r="AJ21" i="4"/>
  <c r="AI21" i="4"/>
  <c r="AH21" i="4"/>
  <c r="R21" i="4"/>
  <c r="Q21" i="4"/>
  <c r="S21" i="4" s="1"/>
  <c r="Z21" i="4" s="1"/>
  <c r="F21" i="4"/>
  <c r="C21" i="4"/>
  <c r="G21" i="4" s="1"/>
  <c r="AK20" i="4"/>
  <c r="AJ20" i="4"/>
  <c r="AI20" i="4"/>
  <c r="AH20" i="4"/>
  <c r="R20" i="4"/>
  <c r="Q20" i="4"/>
  <c r="S20" i="4" s="1"/>
  <c r="Z20" i="4" s="1"/>
  <c r="F20" i="4"/>
  <c r="C20" i="4"/>
  <c r="G20" i="4" s="1"/>
  <c r="AK19" i="4"/>
  <c r="AJ19" i="4"/>
  <c r="AI19" i="4"/>
  <c r="AH19" i="4"/>
  <c r="V19" i="4"/>
  <c r="R19" i="4"/>
  <c r="Q19" i="4"/>
  <c r="S19" i="4" s="1"/>
  <c r="Z19" i="4" s="1"/>
  <c r="F19" i="4"/>
  <c r="C19" i="4"/>
  <c r="U19" i="4" s="1"/>
  <c r="AK18" i="4"/>
  <c r="AJ18" i="4"/>
  <c r="AI18" i="4"/>
  <c r="AH18" i="4"/>
  <c r="AL18" i="4" s="1"/>
  <c r="V18" i="4"/>
  <c r="R18" i="4"/>
  <c r="Q18" i="4"/>
  <c r="S18" i="4" s="1"/>
  <c r="Z18" i="4" s="1"/>
  <c r="F18" i="4"/>
  <c r="C18" i="4"/>
  <c r="U18" i="4" s="1"/>
  <c r="AK17" i="4"/>
  <c r="AJ17" i="4"/>
  <c r="AI17" i="4"/>
  <c r="AH17" i="4"/>
  <c r="U17" i="4"/>
  <c r="V17" i="4" s="1"/>
  <c r="R17" i="4"/>
  <c r="Q17" i="4"/>
  <c r="S17" i="4" s="1"/>
  <c r="Z17" i="4" s="1"/>
  <c r="F17" i="4"/>
  <c r="C17" i="4"/>
  <c r="G17" i="4" s="1"/>
  <c r="AK16" i="4"/>
  <c r="AJ16" i="4"/>
  <c r="AI16" i="4"/>
  <c r="AH16" i="4"/>
  <c r="AL16" i="4" s="1"/>
  <c r="U16" i="4"/>
  <c r="V16" i="4" s="1"/>
  <c r="R16" i="4"/>
  <c r="Q16" i="4"/>
  <c r="S16" i="4" s="1"/>
  <c r="Z16" i="4" s="1"/>
  <c r="F16" i="4"/>
  <c r="C16" i="4"/>
  <c r="G16" i="4" s="1"/>
  <c r="AK15" i="4"/>
  <c r="AJ15" i="4"/>
  <c r="AI15" i="4"/>
  <c r="AH15" i="4"/>
  <c r="U15" i="4"/>
  <c r="V15" i="4" s="1"/>
  <c r="R15" i="4"/>
  <c r="Q15" i="4"/>
  <c r="S15" i="4" s="1"/>
  <c r="Z15" i="4" s="1"/>
  <c r="F15" i="4"/>
  <c r="H15" i="4" s="1"/>
  <c r="C15" i="4"/>
  <c r="G15" i="4" s="1"/>
  <c r="AK14" i="4"/>
  <c r="AJ14" i="4"/>
  <c r="AI14" i="4"/>
  <c r="AH14" i="4"/>
  <c r="AL14" i="4" s="1"/>
  <c r="U14" i="4"/>
  <c r="V14" i="4" s="1"/>
  <c r="R14" i="4"/>
  <c r="Q14" i="4"/>
  <c r="S14" i="4" s="1"/>
  <c r="Z14" i="4" s="1"/>
  <c r="F14" i="4"/>
  <c r="C14" i="4"/>
  <c r="G14" i="4" s="1"/>
  <c r="AK13" i="4"/>
  <c r="AJ13" i="4"/>
  <c r="AI13" i="4"/>
  <c r="AH13" i="4"/>
  <c r="U13" i="4"/>
  <c r="V13" i="4" s="1"/>
  <c r="R13" i="4"/>
  <c r="Q13" i="4"/>
  <c r="S13" i="4" s="1"/>
  <c r="Z13" i="4" s="1"/>
  <c r="F13" i="4"/>
  <c r="H13" i="4" s="1"/>
  <c r="C13" i="4"/>
  <c r="G13" i="4" s="1"/>
  <c r="AK12" i="4"/>
  <c r="AJ12" i="4"/>
  <c r="AI12" i="4"/>
  <c r="AH12" i="4"/>
  <c r="AL12" i="4" s="1"/>
  <c r="U12" i="4"/>
  <c r="V12" i="4" s="1"/>
  <c r="R12" i="4"/>
  <c r="Q12" i="4"/>
  <c r="S12" i="4" s="1"/>
  <c r="Z12" i="4" s="1"/>
  <c r="F12" i="4"/>
  <c r="C12" i="4"/>
  <c r="G12" i="4" s="1"/>
  <c r="AK11" i="4"/>
  <c r="AJ11" i="4"/>
  <c r="AI11" i="4"/>
  <c r="AH11" i="4"/>
  <c r="U11" i="4"/>
  <c r="V11" i="4" s="1"/>
  <c r="R11" i="4"/>
  <c r="Q11" i="4"/>
  <c r="S11" i="4" s="1"/>
  <c r="Z11" i="4" s="1"/>
  <c r="F11" i="4"/>
  <c r="H11" i="4" s="1"/>
  <c r="C11" i="4"/>
  <c r="G11" i="4" s="1"/>
  <c r="AK10" i="4"/>
  <c r="AJ10" i="4"/>
  <c r="AI10" i="4"/>
  <c r="AH10" i="4"/>
  <c r="AL10" i="4" s="1"/>
  <c r="U10" i="4"/>
  <c r="V10" i="4" s="1"/>
  <c r="R10" i="4"/>
  <c r="Q10" i="4"/>
  <c r="S10" i="4" s="1"/>
  <c r="Z10" i="4" s="1"/>
  <c r="F10" i="4"/>
  <c r="C10" i="4"/>
  <c r="G10" i="4" s="1"/>
  <c r="AK9" i="4"/>
  <c r="AJ9" i="4"/>
  <c r="AI9" i="4"/>
  <c r="AH9" i="4"/>
  <c r="U9" i="4"/>
  <c r="V9" i="4" s="1"/>
  <c r="R9" i="4"/>
  <c r="Q9" i="4"/>
  <c r="S9" i="4" s="1"/>
  <c r="Z9" i="4" s="1"/>
  <c r="F9" i="4"/>
  <c r="H9" i="4" s="1"/>
  <c r="C9" i="4"/>
  <c r="G9" i="4" s="1"/>
  <c r="AK8" i="4"/>
  <c r="AJ8" i="4"/>
  <c r="AI8" i="4"/>
  <c r="AH8" i="4"/>
  <c r="AL8" i="4" s="1"/>
  <c r="U8" i="4"/>
  <c r="V8" i="4" s="1"/>
  <c r="R8" i="4"/>
  <c r="Q8" i="4"/>
  <c r="S8" i="4" s="1"/>
  <c r="Z8" i="4" s="1"/>
  <c r="F8" i="4"/>
  <c r="C8" i="4"/>
  <c r="G8" i="4" s="1"/>
  <c r="AK7" i="4"/>
  <c r="AJ7" i="4"/>
  <c r="AI7" i="4"/>
  <c r="AH7" i="4"/>
  <c r="U7" i="4"/>
  <c r="V7" i="4" s="1"/>
  <c r="R7" i="4"/>
  <c r="Q7" i="4"/>
  <c r="S7" i="4" s="1"/>
  <c r="Z7" i="4" s="1"/>
  <c r="F7" i="4"/>
  <c r="C7" i="4"/>
  <c r="G7" i="4" s="1"/>
  <c r="H7" i="4" s="1"/>
  <c r="C6" i="4"/>
  <c r="C5" i="4"/>
  <c r="C4" i="4"/>
  <c r="C4" i="1"/>
  <c r="AK6" i="4"/>
  <c r="AJ6" i="4"/>
  <c r="AI6" i="4"/>
  <c r="AH6" i="4"/>
  <c r="R6" i="4"/>
  <c r="Q6" i="4"/>
  <c r="S6" i="4" s="1"/>
  <c r="Z6" i="4" s="1"/>
  <c r="F6" i="4"/>
  <c r="AK5" i="4"/>
  <c r="AJ5" i="4"/>
  <c r="AI5" i="4"/>
  <c r="AH5" i="4"/>
  <c r="R5" i="4"/>
  <c r="Q5" i="4"/>
  <c r="S5" i="4" s="1"/>
  <c r="Z5" i="4" s="1"/>
  <c r="F5" i="4"/>
  <c r="AK4" i="4"/>
  <c r="AJ4" i="4"/>
  <c r="AI4" i="4"/>
  <c r="AH4" i="4"/>
  <c r="AC4" i="4"/>
  <c r="AA4" i="4"/>
  <c r="Y4" i="4"/>
  <c r="R4" i="4"/>
  <c r="Q4" i="4"/>
  <c r="S4" i="4" s="1"/>
  <c r="Z4" i="4" s="1"/>
  <c r="F4" i="4"/>
  <c r="AL4" i="10" l="1"/>
  <c r="AL6" i="10"/>
  <c r="AL9" i="10"/>
  <c r="AL11" i="10"/>
  <c r="AL13" i="10"/>
  <c r="AL15" i="10"/>
  <c r="AL17" i="10"/>
  <c r="AL19" i="10"/>
  <c r="AL21" i="10"/>
  <c r="AL23" i="10"/>
  <c r="AL25" i="10"/>
  <c r="AL27" i="10"/>
  <c r="AL29" i="10"/>
  <c r="AL31" i="10"/>
  <c r="AL32" i="10"/>
  <c r="AL7" i="10"/>
  <c r="AL8" i="10"/>
  <c r="AL10" i="10"/>
  <c r="AL12" i="10"/>
  <c r="AL14" i="10"/>
  <c r="AL16" i="10"/>
  <c r="AL18" i="10"/>
  <c r="AL20" i="10"/>
  <c r="AL22" i="10"/>
  <c r="AL24" i="10"/>
  <c r="AL26" i="10"/>
  <c r="AL28" i="10"/>
  <c r="AL30" i="10"/>
  <c r="U17" i="10"/>
  <c r="V17" i="10" s="1"/>
  <c r="G32" i="10"/>
  <c r="H32" i="10" s="1"/>
  <c r="G31" i="10"/>
  <c r="H31" i="10" s="1"/>
  <c r="G30" i="10"/>
  <c r="H30" i="10" s="1"/>
  <c r="G29" i="10"/>
  <c r="H29" i="10" s="1"/>
  <c r="G28" i="10"/>
  <c r="H28" i="10" s="1"/>
  <c r="G27" i="10"/>
  <c r="H27" i="10" s="1"/>
  <c r="G26" i="10"/>
  <c r="H26" i="10" s="1"/>
  <c r="G25" i="10"/>
  <c r="H25" i="10" s="1"/>
  <c r="G24" i="10"/>
  <c r="H24" i="10" s="1"/>
  <c r="G23" i="10"/>
  <c r="H23" i="10" s="1"/>
  <c r="G22" i="10"/>
  <c r="H22" i="10" s="1"/>
  <c r="G21" i="10"/>
  <c r="H21" i="10" s="1"/>
  <c r="G20" i="10"/>
  <c r="H20" i="10" s="1"/>
  <c r="G19" i="10"/>
  <c r="G18" i="10"/>
  <c r="H18" i="10" s="1"/>
  <c r="G17" i="10"/>
  <c r="H17" i="10" s="1"/>
  <c r="G16" i="10"/>
  <c r="H16" i="10" s="1"/>
  <c r="G15" i="10"/>
  <c r="H15" i="10" s="1"/>
  <c r="G14" i="10"/>
  <c r="H14" i="10" s="1"/>
  <c r="G13" i="10"/>
  <c r="H13" i="10" s="1"/>
  <c r="G12" i="10"/>
  <c r="H12" i="10" s="1"/>
  <c r="G11" i="10"/>
  <c r="H11" i="10" s="1"/>
  <c r="G10" i="10"/>
  <c r="H10" i="10" s="1"/>
  <c r="G9" i="10"/>
  <c r="H9" i="10" s="1"/>
  <c r="U4" i="10"/>
  <c r="V4" i="10" s="1"/>
  <c r="W4" i="10" s="1"/>
  <c r="G5" i="10"/>
  <c r="H5" i="10" s="1"/>
  <c r="G6" i="10"/>
  <c r="H6" i="10" s="1"/>
  <c r="G7" i="10"/>
  <c r="H7" i="10" s="1"/>
  <c r="G8" i="10"/>
  <c r="H8" i="10" s="1"/>
  <c r="U9" i="10"/>
  <c r="V9" i="10" s="1"/>
  <c r="U10" i="10"/>
  <c r="V10" i="10" s="1"/>
  <c r="W10" i="10" s="1"/>
  <c r="X10" i="10" s="1"/>
  <c r="U11" i="10"/>
  <c r="V11" i="10" s="1"/>
  <c r="U12" i="10"/>
  <c r="V12" i="10" s="1"/>
  <c r="W12" i="10" s="1"/>
  <c r="X12" i="10" s="1"/>
  <c r="U13" i="10"/>
  <c r="V13" i="10" s="1"/>
  <c r="U14" i="10"/>
  <c r="V14" i="10" s="1"/>
  <c r="W14" i="10" s="1"/>
  <c r="X14" i="10" s="1"/>
  <c r="U15" i="10"/>
  <c r="V15" i="10" s="1"/>
  <c r="U16" i="10"/>
  <c r="V16" i="10" s="1"/>
  <c r="W16" i="10" s="1"/>
  <c r="X16" i="10" s="1"/>
  <c r="H19" i="10"/>
  <c r="U25" i="10"/>
  <c r="V25" i="10" s="1"/>
  <c r="U24" i="10"/>
  <c r="V24" i="10" s="1"/>
  <c r="U23" i="10"/>
  <c r="V23" i="10" s="1"/>
  <c r="U22" i="10"/>
  <c r="V22" i="10" s="1"/>
  <c r="U21" i="10"/>
  <c r="V21" i="10" s="1"/>
  <c r="U20" i="10"/>
  <c r="V20" i="10" s="1"/>
  <c r="U19" i="10"/>
  <c r="V19" i="10" s="1"/>
  <c r="U18" i="10"/>
  <c r="V18" i="10" s="1"/>
  <c r="G4" i="10"/>
  <c r="H4" i="10" s="1"/>
  <c r="I4" i="10" s="1"/>
  <c r="J4" i="10" s="1"/>
  <c r="AB4" i="10" s="1"/>
  <c r="AM4" i="10" s="1"/>
  <c r="U5" i="10"/>
  <c r="V5" i="10" s="1"/>
  <c r="U6" i="10"/>
  <c r="V6" i="10" s="1"/>
  <c r="U7" i="10"/>
  <c r="V7" i="10" s="1"/>
  <c r="U26" i="10"/>
  <c r="V26" i="10" s="1"/>
  <c r="U27" i="10"/>
  <c r="V27" i="10" s="1"/>
  <c r="U28" i="10"/>
  <c r="V28" i="10" s="1"/>
  <c r="U29" i="10"/>
  <c r="V29" i="10" s="1"/>
  <c r="U30" i="10"/>
  <c r="V30" i="10" s="1"/>
  <c r="U31" i="10"/>
  <c r="V31" i="10" s="1"/>
  <c r="U32" i="10"/>
  <c r="V32" i="10" s="1"/>
  <c r="AL7" i="9"/>
  <c r="AL8" i="9"/>
  <c r="AL9" i="9"/>
  <c r="AL10" i="9"/>
  <c r="AL11" i="9"/>
  <c r="AL12" i="9"/>
  <c r="AL13" i="9"/>
  <c r="AL14" i="9"/>
  <c r="AL16" i="9"/>
  <c r="AL18" i="9"/>
  <c r="AL20" i="9"/>
  <c r="AL22" i="9"/>
  <c r="AL24" i="9"/>
  <c r="AL26" i="9"/>
  <c r="AL28" i="9"/>
  <c r="AL30" i="9"/>
  <c r="AL31" i="9"/>
  <c r="U15" i="9"/>
  <c r="V15" i="9" s="1"/>
  <c r="U16" i="9"/>
  <c r="V16" i="9" s="1"/>
  <c r="U17" i="9"/>
  <c r="V17" i="9" s="1"/>
  <c r="U18" i="9"/>
  <c r="V18" i="9" s="1"/>
  <c r="G30" i="9"/>
  <c r="H30" i="9" s="1"/>
  <c r="G29" i="9"/>
  <c r="H29" i="9" s="1"/>
  <c r="G28" i="9"/>
  <c r="H28" i="9" s="1"/>
  <c r="G27" i="9"/>
  <c r="H27" i="9" s="1"/>
  <c r="G26" i="9"/>
  <c r="H26" i="9" s="1"/>
  <c r="G25" i="9"/>
  <c r="H25" i="9" s="1"/>
  <c r="G24" i="9"/>
  <c r="H24" i="9" s="1"/>
  <c r="G23" i="9"/>
  <c r="H23" i="9" s="1"/>
  <c r="G22" i="9"/>
  <c r="H22" i="9" s="1"/>
  <c r="G21" i="9"/>
  <c r="H21" i="9" s="1"/>
  <c r="G20" i="9"/>
  <c r="H20" i="9" s="1"/>
  <c r="G19" i="9"/>
  <c r="H19" i="9" s="1"/>
  <c r="U4" i="9"/>
  <c r="V4" i="9" s="1"/>
  <c r="W4" i="9" s="1"/>
  <c r="G5" i="9"/>
  <c r="H5" i="9" s="1"/>
  <c r="G6" i="9"/>
  <c r="H6" i="9" s="1"/>
  <c r="G7" i="9"/>
  <c r="H7" i="9" s="1"/>
  <c r="G8" i="9"/>
  <c r="H8" i="9" s="1"/>
  <c r="G9" i="9"/>
  <c r="H9" i="9" s="1"/>
  <c r="G10" i="9"/>
  <c r="H10" i="9" s="1"/>
  <c r="G11" i="9"/>
  <c r="H11" i="9" s="1"/>
  <c r="G12" i="9"/>
  <c r="H12" i="9" s="1"/>
  <c r="G13" i="9"/>
  <c r="H13" i="9" s="1"/>
  <c r="G14" i="9"/>
  <c r="H14" i="9" s="1"/>
  <c r="G15" i="9"/>
  <c r="H15" i="9" s="1"/>
  <c r="G16" i="9"/>
  <c r="H16" i="9" s="1"/>
  <c r="G17" i="9"/>
  <c r="H17" i="9" s="1"/>
  <c r="G18" i="9"/>
  <c r="H18" i="9" s="1"/>
  <c r="U19" i="9"/>
  <c r="V19" i="9" s="1"/>
  <c r="U20" i="9"/>
  <c r="V20" i="9" s="1"/>
  <c r="W20" i="9" s="1"/>
  <c r="X20" i="9" s="1"/>
  <c r="U21" i="9"/>
  <c r="V21" i="9" s="1"/>
  <c r="U22" i="9"/>
  <c r="V22" i="9" s="1"/>
  <c r="W22" i="9" s="1"/>
  <c r="X22" i="9" s="1"/>
  <c r="U23" i="9"/>
  <c r="V23" i="9" s="1"/>
  <c r="U24" i="9"/>
  <c r="V24" i="9" s="1"/>
  <c r="W24" i="9" s="1"/>
  <c r="X24" i="9" s="1"/>
  <c r="U31" i="9"/>
  <c r="V31" i="9" s="1"/>
  <c r="U30" i="9"/>
  <c r="V30" i="9" s="1"/>
  <c r="U29" i="9"/>
  <c r="V29" i="9" s="1"/>
  <c r="U28" i="9"/>
  <c r="V28" i="9" s="1"/>
  <c r="U27" i="9"/>
  <c r="V27" i="9" s="1"/>
  <c r="G4" i="9"/>
  <c r="H4" i="9" s="1"/>
  <c r="I4" i="9" s="1"/>
  <c r="J4" i="9" s="1"/>
  <c r="AB4" i="9" s="1"/>
  <c r="AM4" i="9" s="1"/>
  <c r="U26" i="9"/>
  <c r="V26" i="9" s="1"/>
  <c r="G31" i="9"/>
  <c r="H31" i="9" s="1"/>
  <c r="AL4" i="8"/>
  <c r="AL6" i="8"/>
  <c r="AL8" i="8"/>
  <c r="AL10" i="8"/>
  <c r="AL12" i="8"/>
  <c r="AL14" i="8"/>
  <c r="AL16" i="8"/>
  <c r="AL17" i="8"/>
  <c r="AL18" i="8"/>
  <c r="AL19" i="8"/>
  <c r="AL20" i="8"/>
  <c r="AL21" i="8"/>
  <c r="AL22" i="8"/>
  <c r="AL23" i="8"/>
  <c r="AL24" i="8"/>
  <c r="AL25" i="8"/>
  <c r="AL26" i="8"/>
  <c r="AL27" i="8"/>
  <c r="AL28" i="8"/>
  <c r="AL29" i="8"/>
  <c r="G29" i="8"/>
  <c r="H29" i="8" s="1"/>
  <c r="G28" i="8"/>
  <c r="G27" i="8"/>
  <c r="H27" i="8" s="1"/>
  <c r="G26" i="8"/>
  <c r="H26" i="8" s="1"/>
  <c r="G25" i="8"/>
  <c r="H25" i="8" s="1"/>
  <c r="G24" i="8"/>
  <c r="G23" i="8"/>
  <c r="H23" i="8" s="1"/>
  <c r="G22" i="8"/>
  <c r="G21" i="8"/>
  <c r="H21" i="8" s="1"/>
  <c r="G20" i="8"/>
  <c r="G19" i="8"/>
  <c r="H19" i="8" s="1"/>
  <c r="G5" i="8"/>
  <c r="H5" i="8" s="1"/>
  <c r="G6" i="8"/>
  <c r="H6" i="8" s="1"/>
  <c r="G7" i="8"/>
  <c r="H7" i="8" s="1"/>
  <c r="G8" i="8"/>
  <c r="H8" i="8" s="1"/>
  <c r="G9" i="8"/>
  <c r="H9" i="8" s="1"/>
  <c r="G10" i="8"/>
  <c r="H10" i="8" s="1"/>
  <c r="G11" i="8"/>
  <c r="H11" i="8" s="1"/>
  <c r="G12" i="8"/>
  <c r="H12" i="8" s="1"/>
  <c r="G13" i="8"/>
  <c r="H13" i="8" s="1"/>
  <c r="G14" i="8"/>
  <c r="H14" i="8" s="1"/>
  <c r="G15" i="8"/>
  <c r="H15" i="8" s="1"/>
  <c r="G16" i="8"/>
  <c r="H16" i="8" s="1"/>
  <c r="H20" i="8"/>
  <c r="H22" i="8"/>
  <c r="H24" i="8"/>
  <c r="H28" i="8"/>
  <c r="U30" i="8"/>
  <c r="V30" i="8" s="1"/>
  <c r="W30" i="8" s="1"/>
  <c r="U29" i="8"/>
  <c r="V29" i="8" s="1"/>
  <c r="W29" i="8" s="1"/>
  <c r="X29" i="8" s="1"/>
  <c r="U28" i="8"/>
  <c r="V28" i="8" s="1"/>
  <c r="W28" i="8" s="1"/>
  <c r="X28" i="8" s="1"/>
  <c r="U27" i="8"/>
  <c r="V27" i="8" s="1"/>
  <c r="W27" i="8" s="1"/>
  <c r="X27" i="8" s="1"/>
  <c r="G4" i="8"/>
  <c r="H4" i="8" s="1"/>
  <c r="I4" i="8" s="1"/>
  <c r="J4" i="8" s="1"/>
  <c r="AB4" i="8" s="1"/>
  <c r="AM4" i="8" s="1"/>
  <c r="U5" i="8"/>
  <c r="V5" i="8" s="1"/>
  <c r="W5" i="8" s="1"/>
  <c r="X5" i="8" s="1"/>
  <c r="U6" i="8"/>
  <c r="V6" i="8" s="1"/>
  <c r="W6" i="8" s="1"/>
  <c r="X6" i="8" s="1"/>
  <c r="U7" i="8"/>
  <c r="V7" i="8" s="1"/>
  <c r="W7" i="8" s="1"/>
  <c r="X7" i="8" s="1"/>
  <c r="U8" i="8"/>
  <c r="V8" i="8" s="1"/>
  <c r="W8" i="8" s="1"/>
  <c r="X8" i="8" s="1"/>
  <c r="U9" i="8"/>
  <c r="V9" i="8" s="1"/>
  <c r="W9" i="8" s="1"/>
  <c r="X9" i="8" s="1"/>
  <c r="U10" i="8"/>
  <c r="V10" i="8" s="1"/>
  <c r="W10" i="8" s="1"/>
  <c r="X10" i="8" s="1"/>
  <c r="U11" i="8"/>
  <c r="V11" i="8" s="1"/>
  <c r="W11" i="8" s="1"/>
  <c r="X11" i="8" s="1"/>
  <c r="U12" i="8"/>
  <c r="V12" i="8" s="1"/>
  <c r="W12" i="8" s="1"/>
  <c r="X12" i="8" s="1"/>
  <c r="U13" i="8"/>
  <c r="V13" i="8" s="1"/>
  <c r="W13" i="8" s="1"/>
  <c r="X13" i="8" s="1"/>
  <c r="U14" i="8"/>
  <c r="V14" i="8" s="1"/>
  <c r="W14" i="8" s="1"/>
  <c r="X14" i="8" s="1"/>
  <c r="U15" i="8"/>
  <c r="V15" i="8" s="1"/>
  <c r="W15" i="8" s="1"/>
  <c r="X15" i="8" s="1"/>
  <c r="U16" i="8"/>
  <c r="V16" i="8" s="1"/>
  <c r="W16" i="8" s="1"/>
  <c r="X16" i="8" s="1"/>
  <c r="U17" i="8"/>
  <c r="V17" i="8" s="1"/>
  <c r="W17" i="8" s="1"/>
  <c r="X17" i="8" s="1"/>
  <c r="G17" i="8"/>
  <c r="H17" i="8" s="1"/>
  <c r="I17" i="8" s="1"/>
  <c r="J17" i="8" s="1"/>
  <c r="U18" i="8"/>
  <c r="V18" i="8" s="1"/>
  <c r="W18" i="8" s="1"/>
  <c r="X18" i="8" s="1"/>
  <c r="G18" i="8"/>
  <c r="H18" i="8" s="1"/>
  <c r="I18" i="8" s="1"/>
  <c r="J18" i="8" s="1"/>
  <c r="U19" i="8"/>
  <c r="V19" i="8" s="1"/>
  <c r="W19" i="8" s="1"/>
  <c r="X19" i="8" s="1"/>
  <c r="U20" i="8"/>
  <c r="V20" i="8" s="1"/>
  <c r="W20" i="8" s="1"/>
  <c r="X20" i="8" s="1"/>
  <c r="U21" i="8"/>
  <c r="V21" i="8" s="1"/>
  <c r="W21" i="8" s="1"/>
  <c r="X21" i="8" s="1"/>
  <c r="U22" i="8"/>
  <c r="V22" i="8" s="1"/>
  <c r="W22" i="8" s="1"/>
  <c r="X22" i="8" s="1"/>
  <c r="U23" i="8"/>
  <c r="V23" i="8" s="1"/>
  <c r="W23" i="8" s="1"/>
  <c r="X23" i="8" s="1"/>
  <c r="U24" i="8"/>
  <c r="V24" i="8" s="1"/>
  <c r="W24" i="8" s="1"/>
  <c r="X24" i="8" s="1"/>
  <c r="U25" i="8"/>
  <c r="V25" i="8" s="1"/>
  <c r="W25" i="8" s="1"/>
  <c r="X25" i="8" s="1"/>
  <c r="U26" i="8"/>
  <c r="V26" i="8" s="1"/>
  <c r="W26" i="8" s="1"/>
  <c r="X26" i="8" s="1"/>
  <c r="G30" i="8"/>
  <c r="H30" i="8" s="1"/>
  <c r="AL18" i="7"/>
  <c r="AL5" i="7"/>
  <c r="AL7" i="7"/>
  <c r="AL9" i="7"/>
  <c r="AL11" i="7"/>
  <c r="AL13" i="7"/>
  <c r="AL15" i="7"/>
  <c r="AL17" i="7"/>
  <c r="AL19" i="7"/>
  <c r="U11" i="7"/>
  <c r="V11" i="7" s="1"/>
  <c r="AL21" i="7"/>
  <c r="U5" i="7"/>
  <c r="V5" i="7" s="1"/>
  <c r="G21" i="7"/>
  <c r="H21" i="7" s="1"/>
  <c r="G20" i="7"/>
  <c r="H20" i="7" s="1"/>
  <c r="U4" i="7"/>
  <c r="V4" i="7" s="1"/>
  <c r="W4" i="7" s="1"/>
  <c r="G5" i="7"/>
  <c r="H5" i="7" s="1"/>
  <c r="G6" i="7"/>
  <c r="H6" i="7" s="1"/>
  <c r="G7" i="7"/>
  <c r="H7" i="7" s="1"/>
  <c r="G8" i="7"/>
  <c r="H8" i="7" s="1"/>
  <c r="G9" i="7"/>
  <c r="H9" i="7" s="1"/>
  <c r="G10" i="7"/>
  <c r="H10" i="7" s="1"/>
  <c r="G11" i="7"/>
  <c r="H11" i="7" s="1"/>
  <c r="G4" i="7"/>
  <c r="H4" i="7" s="1"/>
  <c r="I4" i="7" s="1"/>
  <c r="J4" i="7" s="1"/>
  <c r="AB4" i="7" s="1"/>
  <c r="AM4" i="7" s="1"/>
  <c r="U6" i="7"/>
  <c r="V6" i="7" s="1"/>
  <c r="U7" i="7"/>
  <c r="V7" i="7" s="1"/>
  <c r="U8" i="7"/>
  <c r="V8" i="7" s="1"/>
  <c r="U9" i="7"/>
  <c r="V9" i="7" s="1"/>
  <c r="U10" i="7"/>
  <c r="V10" i="7" s="1"/>
  <c r="U12" i="7"/>
  <c r="V12" i="7" s="1"/>
  <c r="G12" i="7"/>
  <c r="H12" i="7" s="1"/>
  <c r="U13" i="7"/>
  <c r="V13" i="7" s="1"/>
  <c r="G13" i="7"/>
  <c r="H13" i="7" s="1"/>
  <c r="U14" i="7"/>
  <c r="V14" i="7" s="1"/>
  <c r="G14" i="7"/>
  <c r="H14" i="7" s="1"/>
  <c r="U15" i="7"/>
  <c r="V15" i="7" s="1"/>
  <c r="G15" i="7"/>
  <c r="H15" i="7" s="1"/>
  <c r="U16" i="7"/>
  <c r="V16" i="7" s="1"/>
  <c r="G16" i="7"/>
  <c r="H16" i="7" s="1"/>
  <c r="U17" i="7"/>
  <c r="V17" i="7" s="1"/>
  <c r="G17" i="7"/>
  <c r="H17" i="7" s="1"/>
  <c r="U18" i="7"/>
  <c r="V18" i="7" s="1"/>
  <c r="G18" i="7"/>
  <c r="H18" i="7" s="1"/>
  <c r="U19" i="7"/>
  <c r="V19" i="7" s="1"/>
  <c r="G19" i="7"/>
  <c r="H19" i="7" s="1"/>
  <c r="U20" i="7"/>
  <c r="V20" i="7" s="1"/>
  <c r="U21" i="7"/>
  <c r="V21" i="7" s="1"/>
  <c r="AL4" i="5"/>
  <c r="AL6" i="5"/>
  <c r="AL8" i="5"/>
  <c r="AL10" i="5"/>
  <c r="AL12" i="5"/>
  <c r="AL14" i="5"/>
  <c r="AL16" i="5"/>
  <c r="AL18" i="5"/>
  <c r="AL5" i="5"/>
  <c r="AL7" i="5"/>
  <c r="AL9" i="5"/>
  <c r="AL11" i="5"/>
  <c r="AL13" i="5"/>
  <c r="AL15" i="5"/>
  <c r="AL17" i="5"/>
  <c r="AL19" i="5"/>
  <c r="U7" i="5"/>
  <c r="V7" i="5" s="1"/>
  <c r="W7" i="5" s="1"/>
  <c r="X7" i="5" s="1"/>
  <c r="AA7" i="5" s="1"/>
  <c r="U8" i="5"/>
  <c r="V8" i="5" s="1"/>
  <c r="W8" i="5" s="1"/>
  <c r="X8" i="5" s="1"/>
  <c r="AA8" i="5" s="1"/>
  <c r="U5" i="5"/>
  <c r="V5" i="5" s="1"/>
  <c r="W5" i="5" s="1"/>
  <c r="X5" i="5" s="1"/>
  <c r="AA5" i="5" s="1"/>
  <c r="U6" i="5"/>
  <c r="V6" i="5" s="1"/>
  <c r="W6" i="5" s="1"/>
  <c r="X6" i="5" s="1"/>
  <c r="AA6" i="5" s="1"/>
  <c r="U9" i="5"/>
  <c r="V9" i="5" s="1"/>
  <c r="W9" i="5" s="1"/>
  <c r="X9" i="5" s="1"/>
  <c r="AA9" i="5" s="1"/>
  <c r="U10" i="5"/>
  <c r="V10" i="5" s="1"/>
  <c r="W10" i="5" s="1"/>
  <c r="X10" i="5" s="1"/>
  <c r="AA10" i="5" s="1"/>
  <c r="U11" i="5"/>
  <c r="V11" i="5" s="1"/>
  <c r="W11" i="5" s="1"/>
  <c r="X11" i="5" s="1"/>
  <c r="AA11" i="5" s="1"/>
  <c r="U12" i="5"/>
  <c r="V12" i="5" s="1"/>
  <c r="W12" i="5" s="1"/>
  <c r="X12" i="5" s="1"/>
  <c r="AA12" i="5" s="1"/>
  <c r="U13" i="5"/>
  <c r="V13" i="5" s="1"/>
  <c r="W13" i="5" s="1"/>
  <c r="X13" i="5" s="1"/>
  <c r="AA13" i="5" s="1"/>
  <c r="U14" i="5"/>
  <c r="V14" i="5" s="1"/>
  <c r="W14" i="5" s="1"/>
  <c r="X14" i="5" s="1"/>
  <c r="U15" i="5"/>
  <c r="V15" i="5" s="1"/>
  <c r="U16" i="5"/>
  <c r="V16" i="5" s="1"/>
  <c r="W16" i="5" s="1"/>
  <c r="X16" i="5" s="1"/>
  <c r="U17" i="5"/>
  <c r="V17" i="5" s="1"/>
  <c r="W17" i="5" s="1"/>
  <c r="X17" i="5" s="1"/>
  <c r="U18" i="5"/>
  <c r="V18" i="5" s="1"/>
  <c r="W18" i="5" s="1"/>
  <c r="X18" i="5" s="1"/>
  <c r="AC5" i="5"/>
  <c r="AC6" i="5"/>
  <c r="AC9" i="5"/>
  <c r="Y12" i="5"/>
  <c r="AC13" i="5"/>
  <c r="G5" i="5"/>
  <c r="H5" i="5" s="1"/>
  <c r="G6" i="5"/>
  <c r="G7" i="5"/>
  <c r="H7" i="5" s="1"/>
  <c r="G8" i="5"/>
  <c r="H8" i="5" s="1"/>
  <c r="G9" i="5"/>
  <c r="H9" i="5" s="1"/>
  <c r="G10" i="5"/>
  <c r="G11" i="5"/>
  <c r="H11" i="5" s="1"/>
  <c r="G12" i="5"/>
  <c r="H12" i="5" s="1"/>
  <c r="G13" i="5"/>
  <c r="H13" i="5" s="1"/>
  <c r="G20" i="5"/>
  <c r="H20" i="5" s="1"/>
  <c r="G19" i="5"/>
  <c r="H19" i="5" s="1"/>
  <c r="G4" i="5"/>
  <c r="H4" i="5" s="1"/>
  <c r="I4" i="5" s="1"/>
  <c r="J4" i="5" s="1"/>
  <c r="AB4" i="5" s="1"/>
  <c r="AM4" i="5" s="1"/>
  <c r="G18" i="5"/>
  <c r="H18" i="5" s="1"/>
  <c r="G17" i="5"/>
  <c r="G16" i="5"/>
  <c r="H16" i="5" s="1"/>
  <c r="G15" i="5"/>
  <c r="H15" i="5" s="1"/>
  <c r="I15" i="5" s="1"/>
  <c r="J15" i="5" s="1"/>
  <c r="G14" i="5"/>
  <c r="H14" i="5" s="1"/>
  <c r="H6" i="5"/>
  <c r="H10" i="5"/>
  <c r="W15" i="5"/>
  <c r="X15" i="5" s="1"/>
  <c r="H17" i="5"/>
  <c r="I17" i="5" s="1"/>
  <c r="J17" i="5" s="1"/>
  <c r="U19" i="5"/>
  <c r="V19" i="5" s="1"/>
  <c r="W19" i="5" s="1"/>
  <c r="X19" i="5" s="1"/>
  <c r="U20" i="5"/>
  <c r="V20" i="5" s="1"/>
  <c r="W20" i="5" s="1"/>
  <c r="AL20" i="5"/>
  <c r="AL7" i="4"/>
  <c r="AL9" i="4"/>
  <c r="AL11" i="4"/>
  <c r="AL13" i="4"/>
  <c r="AL15" i="4"/>
  <c r="AL17" i="4"/>
  <c r="AL19" i="4"/>
  <c r="AL20" i="4"/>
  <c r="AL21" i="4"/>
  <c r="AL22" i="4"/>
  <c r="AL23" i="4"/>
  <c r="AL24" i="4"/>
  <c r="AL25" i="4"/>
  <c r="AL26" i="4"/>
  <c r="AL27" i="4"/>
  <c r="H8" i="4"/>
  <c r="H10" i="4"/>
  <c r="H12" i="4"/>
  <c r="H14" i="4"/>
  <c r="H16" i="4"/>
  <c r="H17" i="4"/>
  <c r="G18" i="4"/>
  <c r="H18" i="4" s="1"/>
  <c r="I18" i="4" s="1"/>
  <c r="J18" i="4" s="1"/>
  <c r="G19" i="4"/>
  <c r="H20" i="4"/>
  <c r="H21" i="4"/>
  <c r="H22" i="4"/>
  <c r="H23" i="4"/>
  <c r="H24" i="4"/>
  <c r="H25" i="4"/>
  <c r="H26" i="4"/>
  <c r="H19" i="4"/>
  <c r="U20" i="4"/>
  <c r="V20" i="4" s="1"/>
  <c r="U21" i="4"/>
  <c r="V21" i="4" s="1"/>
  <c r="U22" i="4"/>
  <c r="V22" i="4" s="1"/>
  <c r="U23" i="4"/>
  <c r="V23" i="4" s="1"/>
  <c r="U24" i="4"/>
  <c r="V24" i="4" s="1"/>
  <c r="U25" i="4"/>
  <c r="V25" i="4" s="1"/>
  <c r="U26" i="4"/>
  <c r="V26" i="4" s="1"/>
  <c r="U27" i="4"/>
  <c r="V27" i="4" s="1"/>
  <c r="U28" i="4"/>
  <c r="V28" i="4" s="1"/>
  <c r="AL4" i="4"/>
  <c r="AL5" i="4"/>
  <c r="AL6" i="4"/>
  <c r="U4" i="4"/>
  <c r="V4" i="4" s="1"/>
  <c r="W4" i="4" s="1"/>
  <c r="G5" i="4"/>
  <c r="H5" i="4" s="1"/>
  <c r="G6" i="4"/>
  <c r="H6" i="4" s="1"/>
  <c r="G4" i="4"/>
  <c r="H4" i="4" s="1"/>
  <c r="I4" i="4" s="1"/>
  <c r="J4" i="4" s="1"/>
  <c r="AB4" i="4" s="1"/>
  <c r="U5" i="4"/>
  <c r="V5" i="4" s="1"/>
  <c r="W5" i="4" s="1"/>
  <c r="X5" i="4" s="1"/>
  <c r="U6" i="4"/>
  <c r="V6" i="4" s="1"/>
  <c r="W32" i="10" l="1"/>
  <c r="W30" i="10"/>
  <c r="X30" i="10" s="1"/>
  <c r="AC30" i="10" s="1"/>
  <c r="W28" i="10"/>
  <c r="X28" i="10" s="1"/>
  <c r="W26" i="10"/>
  <c r="X26" i="10" s="1"/>
  <c r="AA26" i="10" s="1"/>
  <c r="W6" i="10"/>
  <c r="X6" i="10" s="1"/>
  <c r="W19" i="10"/>
  <c r="X19" i="10" s="1"/>
  <c r="AA19" i="10" s="1"/>
  <c r="W21" i="10"/>
  <c r="X21" i="10" s="1"/>
  <c r="W23" i="10"/>
  <c r="X23" i="10" s="1"/>
  <c r="W25" i="10"/>
  <c r="X25" i="10" s="1"/>
  <c r="W31" i="10"/>
  <c r="X31" i="10" s="1"/>
  <c r="W29" i="10"/>
  <c r="X29" i="10" s="1"/>
  <c r="W27" i="10"/>
  <c r="X27" i="10" s="1"/>
  <c r="W7" i="10"/>
  <c r="X7" i="10" s="1"/>
  <c r="W5" i="10"/>
  <c r="X5" i="10" s="1"/>
  <c r="AC5" i="10" s="1"/>
  <c r="W18" i="10"/>
  <c r="X18" i="10" s="1"/>
  <c r="W20" i="10"/>
  <c r="X20" i="10" s="1"/>
  <c r="AC20" i="10" s="1"/>
  <c r="W22" i="10"/>
  <c r="X22" i="10" s="1"/>
  <c r="W24" i="10"/>
  <c r="X24" i="10" s="1"/>
  <c r="I7" i="10"/>
  <c r="J7" i="10" s="1"/>
  <c r="I5" i="10"/>
  <c r="J5" i="10" s="1"/>
  <c r="I9" i="10"/>
  <c r="J9" i="10" s="1"/>
  <c r="I11" i="10"/>
  <c r="J11" i="10" s="1"/>
  <c r="I13" i="10"/>
  <c r="J13" i="10" s="1"/>
  <c r="I15" i="10"/>
  <c r="J15" i="10" s="1"/>
  <c r="I17" i="10"/>
  <c r="J17" i="10" s="1"/>
  <c r="I8" i="10"/>
  <c r="J8" i="10" s="1"/>
  <c r="I6" i="10"/>
  <c r="J6" i="10" s="1"/>
  <c r="I10" i="10"/>
  <c r="J10" i="10" s="1"/>
  <c r="I12" i="10"/>
  <c r="J12" i="10" s="1"/>
  <c r="I14" i="10"/>
  <c r="J14" i="10" s="1"/>
  <c r="I16" i="10"/>
  <c r="J16" i="10" s="1"/>
  <c r="AC31" i="10"/>
  <c r="AA31" i="10"/>
  <c r="Y31" i="10"/>
  <c r="AC29" i="10"/>
  <c r="AA29" i="10"/>
  <c r="Y29" i="10"/>
  <c r="I27" i="10"/>
  <c r="J27" i="10" s="1"/>
  <c r="I31" i="10"/>
  <c r="J31" i="10" s="1"/>
  <c r="AB31" i="10" s="1"/>
  <c r="I29" i="10"/>
  <c r="J29" i="10" s="1"/>
  <c r="AB29" i="10" s="1"/>
  <c r="AC27" i="10"/>
  <c r="AA27" i="10"/>
  <c r="Y27" i="10"/>
  <c r="AC7" i="10"/>
  <c r="AA7" i="10"/>
  <c r="AB7" i="10" s="1"/>
  <c r="Y7" i="10"/>
  <c r="AA5" i="10"/>
  <c r="AB5" i="10" s="1"/>
  <c r="AC18" i="10"/>
  <c r="AA18" i="10"/>
  <c r="Y18" i="10"/>
  <c r="AA20" i="10"/>
  <c r="AC22" i="10"/>
  <c r="AA22" i="10"/>
  <c r="Y22" i="10"/>
  <c r="AC24" i="10"/>
  <c r="AA24" i="10"/>
  <c r="Y24" i="10"/>
  <c r="I26" i="10"/>
  <c r="J26" i="10" s="1"/>
  <c r="I24" i="10"/>
  <c r="J24" i="10" s="1"/>
  <c r="I22" i="10"/>
  <c r="J22" i="10" s="1"/>
  <c r="I20" i="10"/>
  <c r="J20" i="10" s="1"/>
  <c r="I18" i="10"/>
  <c r="J18" i="10" s="1"/>
  <c r="AB18" i="10" s="1"/>
  <c r="AM18" i="10" s="1"/>
  <c r="W15" i="10"/>
  <c r="X15" i="10" s="1"/>
  <c r="W13" i="10"/>
  <c r="X13" i="10" s="1"/>
  <c r="W11" i="10"/>
  <c r="X11" i="10" s="1"/>
  <c r="W9" i="10"/>
  <c r="X9" i="10" s="1"/>
  <c r="AA30" i="10"/>
  <c r="AC28" i="10"/>
  <c r="AA28" i="10"/>
  <c r="Y28" i="10"/>
  <c r="I32" i="10"/>
  <c r="J32" i="10" s="1"/>
  <c r="AB32" i="10" s="1"/>
  <c r="AM32" i="10" s="1"/>
  <c r="I30" i="10"/>
  <c r="J30" i="10" s="1"/>
  <c r="AB30" i="10" s="1"/>
  <c r="I28" i="10"/>
  <c r="J28" i="10" s="1"/>
  <c r="AB28" i="10" s="1"/>
  <c r="AC26" i="10"/>
  <c r="Y26" i="10"/>
  <c r="AC6" i="10"/>
  <c r="AA6" i="10"/>
  <c r="Y6" i="10"/>
  <c r="AC19" i="10"/>
  <c r="Y19" i="10"/>
  <c r="AC21" i="10"/>
  <c r="AA21" i="10"/>
  <c r="Y21" i="10"/>
  <c r="AC23" i="10"/>
  <c r="AA23" i="10"/>
  <c r="Y23" i="10"/>
  <c r="AC25" i="10"/>
  <c r="AA25" i="10"/>
  <c r="Y25" i="10"/>
  <c r="I25" i="10"/>
  <c r="J25" i="10" s="1"/>
  <c r="AB25" i="10" s="1"/>
  <c r="I23" i="10"/>
  <c r="J23" i="10" s="1"/>
  <c r="AB23" i="10" s="1"/>
  <c r="I21" i="10"/>
  <c r="J21" i="10" s="1"/>
  <c r="AB21" i="10" s="1"/>
  <c r="I19" i="10"/>
  <c r="J19" i="10" s="1"/>
  <c r="AA16" i="10"/>
  <c r="AC16" i="10"/>
  <c r="Y16" i="10"/>
  <c r="AA14" i="10"/>
  <c r="AC14" i="10"/>
  <c r="Y14" i="10"/>
  <c r="AA12" i="10"/>
  <c r="AC12" i="10"/>
  <c r="Y12" i="10"/>
  <c r="AA10" i="10"/>
  <c r="AC10" i="10"/>
  <c r="Y10" i="10"/>
  <c r="W8" i="10"/>
  <c r="X8" i="10" s="1"/>
  <c r="W17" i="10"/>
  <c r="X17" i="10" s="1"/>
  <c r="W28" i="9"/>
  <c r="X28" i="9" s="1"/>
  <c r="W30" i="9"/>
  <c r="X30" i="9" s="1"/>
  <c r="AA30" i="9" s="1"/>
  <c r="W17" i="9"/>
  <c r="X17" i="9" s="1"/>
  <c r="AC17" i="9" s="1"/>
  <c r="I31" i="9"/>
  <c r="J31" i="9" s="1"/>
  <c r="AB31" i="9" s="1"/>
  <c r="AM31" i="9" s="1"/>
  <c r="W26" i="9"/>
  <c r="X26" i="9" s="1"/>
  <c r="AA26" i="9" s="1"/>
  <c r="W27" i="9"/>
  <c r="X27" i="9" s="1"/>
  <c r="AC27" i="9" s="1"/>
  <c r="W29" i="9"/>
  <c r="X29" i="9" s="1"/>
  <c r="AA29" i="9" s="1"/>
  <c r="W31" i="9"/>
  <c r="W23" i="9"/>
  <c r="X23" i="9" s="1"/>
  <c r="AC23" i="9" s="1"/>
  <c r="W21" i="9"/>
  <c r="X21" i="9" s="1"/>
  <c r="AA21" i="9" s="1"/>
  <c r="W19" i="9"/>
  <c r="X19" i="9" s="1"/>
  <c r="AC19" i="9" s="1"/>
  <c r="W11" i="9"/>
  <c r="X11" i="9" s="1"/>
  <c r="AC11" i="9" s="1"/>
  <c r="W15" i="9"/>
  <c r="X15" i="9" s="1"/>
  <c r="AA15" i="9" s="1"/>
  <c r="I18" i="9"/>
  <c r="J18" i="9" s="1"/>
  <c r="I16" i="9"/>
  <c r="J16" i="9" s="1"/>
  <c r="I14" i="9"/>
  <c r="J14" i="9" s="1"/>
  <c r="I12" i="9"/>
  <c r="J12" i="9" s="1"/>
  <c r="I10" i="9"/>
  <c r="J10" i="9" s="1"/>
  <c r="I8" i="9"/>
  <c r="J8" i="9" s="1"/>
  <c r="I6" i="9"/>
  <c r="J6" i="9" s="1"/>
  <c r="I20" i="9"/>
  <c r="J20" i="9" s="1"/>
  <c r="I22" i="9"/>
  <c r="J22" i="9" s="1"/>
  <c r="I24" i="9"/>
  <c r="J24" i="9" s="1"/>
  <c r="I17" i="9"/>
  <c r="J17" i="9" s="1"/>
  <c r="I15" i="9"/>
  <c r="J15" i="9" s="1"/>
  <c r="I13" i="9"/>
  <c r="J13" i="9" s="1"/>
  <c r="I11" i="9"/>
  <c r="J11" i="9" s="1"/>
  <c r="I9" i="9"/>
  <c r="J9" i="9" s="1"/>
  <c r="I7" i="9"/>
  <c r="J7" i="9" s="1"/>
  <c r="I5" i="9"/>
  <c r="J5" i="9" s="1"/>
  <c r="I19" i="9"/>
  <c r="J19" i="9" s="1"/>
  <c r="I21" i="9"/>
  <c r="J21" i="9" s="1"/>
  <c r="I23" i="9"/>
  <c r="J23" i="9" s="1"/>
  <c r="I25" i="9"/>
  <c r="J25" i="9" s="1"/>
  <c r="AA28" i="9"/>
  <c r="AC28" i="9"/>
  <c r="Y28" i="9"/>
  <c r="AA27" i="9"/>
  <c r="AC29" i="9"/>
  <c r="I29" i="9"/>
  <c r="J29" i="9" s="1"/>
  <c r="I27" i="9"/>
  <c r="J27" i="9" s="1"/>
  <c r="AA24" i="9"/>
  <c r="AC24" i="9"/>
  <c r="Y24" i="9"/>
  <c r="AA22" i="9"/>
  <c r="AC22" i="9"/>
  <c r="Y22" i="9"/>
  <c r="AA20" i="9"/>
  <c r="AC20" i="9"/>
  <c r="Y20" i="9"/>
  <c r="W18" i="9"/>
  <c r="X18" i="9" s="1"/>
  <c r="W16" i="9"/>
  <c r="X16" i="9" s="1"/>
  <c r="W14" i="9"/>
  <c r="X14" i="9" s="1"/>
  <c r="W13" i="9"/>
  <c r="X13" i="9" s="1"/>
  <c r="W10" i="9"/>
  <c r="X10" i="9" s="1"/>
  <c r="W8" i="9"/>
  <c r="X8" i="9" s="1"/>
  <c r="W6" i="9"/>
  <c r="X6" i="9" s="1"/>
  <c r="I30" i="9"/>
  <c r="J30" i="9" s="1"/>
  <c r="AC30" i="9"/>
  <c r="Y30" i="9"/>
  <c r="I28" i="9"/>
  <c r="J28" i="9" s="1"/>
  <c r="AB28" i="9" s="1"/>
  <c r="I26" i="9"/>
  <c r="J26" i="9" s="1"/>
  <c r="AA23" i="9"/>
  <c r="AC21" i="9"/>
  <c r="AA19" i="9"/>
  <c r="Y19" i="9"/>
  <c r="AA17" i="9"/>
  <c r="AC15" i="9"/>
  <c r="Y15" i="9"/>
  <c r="AA11" i="9"/>
  <c r="W25" i="9"/>
  <c r="X25" i="9" s="1"/>
  <c r="W12" i="9"/>
  <c r="X12" i="9" s="1"/>
  <c r="W9" i="9"/>
  <c r="X9" i="9" s="1"/>
  <c r="W7" i="9"/>
  <c r="X7" i="9" s="1"/>
  <c r="W5" i="9"/>
  <c r="X5" i="9" s="1"/>
  <c r="I16" i="8"/>
  <c r="J16" i="8" s="1"/>
  <c r="I14" i="8"/>
  <c r="J14" i="8" s="1"/>
  <c r="I12" i="8"/>
  <c r="J12" i="8" s="1"/>
  <c r="I10" i="8"/>
  <c r="J10" i="8" s="1"/>
  <c r="I8" i="8"/>
  <c r="J8" i="8" s="1"/>
  <c r="I6" i="8"/>
  <c r="J6" i="8" s="1"/>
  <c r="I30" i="8"/>
  <c r="J30" i="8" s="1"/>
  <c r="AB30" i="8" s="1"/>
  <c r="AM30" i="8" s="1"/>
  <c r="AC24" i="8"/>
  <c r="AA24" i="8"/>
  <c r="Y24" i="8"/>
  <c r="AC20" i="8"/>
  <c r="AA20" i="8"/>
  <c r="Y20" i="8"/>
  <c r="AC16" i="8"/>
  <c r="AA16" i="8"/>
  <c r="Y16" i="8"/>
  <c r="AC12" i="8"/>
  <c r="AA12" i="8"/>
  <c r="Y12" i="8"/>
  <c r="AC8" i="8"/>
  <c r="AA8" i="8"/>
  <c r="Y8" i="8"/>
  <c r="AC25" i="8"/>
  <c r="AA25" i="8"/>
  <c r="Y25" i="8"/>
  <c r="AC23" i="8"/>
  <c r="AA23" i="8"/>
  <c r="Y23" i="8"/>
  <c r="AC21" i="8"/>
  <c r="AA21" i="8"/>
  <c r="Y21" i="8"/>
  <c r="AC19" i="8"/>
  <c r="AA19" i="8"/>
  <c r="Y19" i="8"/>
  <c r="AC18" i="8"/>
  <c r="AA18" i="8"/>
  <c r="AB18" i="8" s="1"/>
  <c r="Y18" i="8"/>
  <c r="AC17" i="8"/>
  <c r="AA17" i="8"/>
  <c r="AB17" i="8" s="1"/>
  <c r="Y17" i="8"/>
  <c r="AC15" i="8"/>
  <c r="AA15" i="8"/>
  <c r="Y15" i="8"/>
  <c r="AC13" i="8"/>
  <c r="AA13" i="8"/>
  <c r="Y13" i="8"/>
  <c r="AC11" i="8"/>
  <c r="AA11" i="8"/>
  <c r="Y11" i="8"/>
  <c r="AC9" i="8"/>
  <c r="AA9" i="8"/>
  <c r="Y9" i="8"/>
  <c r="AC7" i="8"/>
  <c r="AA7" i="8"/>
  <c r="Y7" i="8"/>
  <c r="AC5" i="8"/>
  <c r="AA5" i="8"/>
  <c r="Y5" i="8"/>
  <c r="AA27" i="8"/>
  <c r="AC27" i="8"/>
  <c r="Y27" i="8"/>
  <c r="AA29" i="8"/>
  <c r="AC29" i="8"/>
  <c r="Y29" i="8"/>
  <c r="I29" i="8"/>
  <c r="J29" i="8" s="1"/>
  <c r="I27" i="8"/>
  <c r="J27" i="8" s="1"/>
  <c r="I25" i="8"/>
  <c r="J25" i="8" s="1"/>
  <c r="I23" i="8"/>
  <c r="J23" i="8" s="1"/>
  <c r="I21" i="8"/>
  <c r="J21" i="8" s="1"/>
  <c r="I19" i="8"/>
  <c r="J19" i="8" s="1"/>
  <c r="AA26" i="8"/>
  <c r="AC26" i="8"/>
  <c r="Y26" i="8"/>
  <c r="AC22" i="8"/>
  <c r="AA22" i="8"/>
  <c r="Y22" i="8"/>
  <c r="AC14" i="8"/>
  <c r="AA14" i="8"/>
  <c r="Y14" i="8"/>
  <c r="AC10" i="8"/>
  <c r="AA10" i="8"/>
  <c r="Y10" i="8"/>
  <c r="AC6" i="8"/>
  <c r="AA6" i="8"/>
  <c r="Y6" i="8"/>
  <c r="AA28" i="8"/>
  <c r="AC28" i="8"/>
  <c r="Y28" i="8"/>
  <c r="I28" i="8"/>
  <c r="J28" i="8" s="1"/>
  <c r="I26" i="8"/>
  <c r="J26" i="8" s="1"/>
  <c r="I24" i="8"/>
  <c r="J24" i="8" s="1"/>
  <c r="AB24" i="8" s="1"/>
  <c r="I22" i="8"/>
  <c r="J22" i="8" s="1"/>
  <c r="I20" i="8"/>
  <c r="J20" i="8" s="1"/>
  <c r="I15" i="8"/>
  <c r="J15" i="8" s="1"/>
  <c r="AB15" i="8" s="1"/>
  <c r="I13" i="8"/>
  <c r="J13" i="8" s="1"/>
  <c r="AB13" i="8" s="1"/>
  <c r="I11" i="8"/>
  <c r="J11" i="8" s="1"/>
  <c r="AB11" i="8" s="1"/>
  <c r="I9" i="8"/>
  <c r="J9" i="8" s="1"/>
  <c r="AB9" i="8" s="1"/>
  <c r="I7" i="8"/>
  <c r="J7" i="8" s="1"/>
  <c r="AB7" i="8" s="1"/>
  <c r="I5" i="8"/>
  <c r="J5" i="8" s="1"/>
  <c r="AB5" i="8" s="1"/>
  <c r="W10" i="7"/>
  <c r="X10" i="7" s="1"/>
  <c r="AC10" i="7" s="1"/>
  <c r="W8" i="7"/>
  <c r="X8" i="7" s="1"/>
  <c r="AA8" i="7" s="1"/>
  <c r="W6" i="7"/>
  <c r="X6" i="7" s="1"/>
  <c r="I19" i="7"/>
  <c r="J19" i="7" s="1"/>
  <c r="I18" i="7"/>
  <c r="J18" i="7" s="1"/>
  <c r="I17" i="7"/>
  <c r="J17" i="7" s="1"/>
  <c r="I16" i="7"/>
  <c r="J16" i="7" s="1"/>
  <c r="I15" i="7"/>
  <c r="J15" i="7" s="1"/>
  <c r="I14" i="7"/>
  <c r="J14" i="7" s="1"/>
  <c r="I13" i="7"/>
  <c r="J13" i="7" s="1"/>
  <c r="I12" i="7"/>
  <c r="J12" i="7" s="1"/>
  <c r="I10" i="7"/>
  <c r="J10" i="7" s="1"/>
  <c r="I8" i="7"/>
  <c r="J8" i="7" s="1"/>
  <c r="W21" i="7"/>
  <c r="W20" i="7"/>
  <c r="X20" i="7" s="1"/>
  <c r="AC20" i="7" s="1"/>
  <c r="W19" i="7"/>
  <c r="X19" i="7" s="1"/>
  <c r="AC19" i="7" s="1"/>
  <c r="W18" i="7"/>
  <c r="X18" i="7" s="1"/>
  <c r="W17" i="7"/>
  <c r="X17" i="7" s="1"/>
  <c r="AA17" i="7" s="1"/>
  <c r="AB17" i="7" s="1"/>
  <c r="W16" i="7"/>
  <c r="X16" i="7" s="1"/>
  <c r="W15" i="7"/>
  <c r="X15" i="7" s="1"/>
  <c r="AA15" i="7" s="1"/>
  <c r="AB15" i="7" s="1"/>
  <c r="W14" i="7"/>
  <c r="X14" i="7" s="1"/>
  <c r="W13" i="7"/>
  <c r="X13" i="7" s="1"/>
  <c r="AA13" i="7" s="1"/>
  <c r="AB13" i="7" s="1"/>
  <c r="W12" i="7"/>
  <c r="X12" i="7" s="1"/>
  <c r="W9" i="7"/>
  <c r="X9" i="7" s="1"/>
  <c r="AA9" i="7" s="1"/>
  <c r="W7" i="7"/>
  <c r="X7" i="7" s="1"/>
  <c r="I11" i="7"/>
  <c r="J11" i="7" s="1"/>
  <c r="I9" i="7"/>
  <c r="J9" i="7" s="1"/>
  <c r="I7" i="7"/>
  <c r="J7" i="7" s="1"/>
  <c r="I5" i="7"/>
  <c r="J5" i="7" s="1"/>
  <c r="AC18" i="7"/>
  <c r="AA18" i="7"/>
  <c r="AB18" i="7" s="1"/>
  <c r="Y18" i="7"/>
  <c r="AC16" i="7"/>
  <c r="AA16" i="7"/>
  <c r="AB16" i="7" s="1"/>
  <c r="Y16" i="7"/>
  <c r="AC14" i="7"/>
  <c r="AA14" i="7"/>
  <c r="AB14" i="7" s="1"/>
  <c r="Y14" i="7"/>
  <c r="AC12" i="7"/>
  <c r="AA12" i="7"/>
  <c r="AB12" i="7" s="1"/>
  <c r="Y12" i="7"/>
  <c r="AC7" i="7"/>
  <c r="AA7" i="7"/>
  <c r="Y7" i="7"/>
  <c r="W5" i="7"/>
  <c r="X5" i="7" s="1"/>
  <c r="I21" i="7"/>
  <c r="J21" i="7" s="1"/>
  <c r="AB21" i="7" s="1"/>
  <c r="AM21" i="7" s="1"/>
  <c r="AA10" i="7"/>
  <c r="Y8" i="7"/>
  <c r="AC6" i="7"/>
  <c r="AA6" i="7"/>
  <c r="Y6" i="7"/>
  <c r="I20" i="7"/>
  <c r="J20" i="7" s="1"/>
  <c r="I6" i="7"/>
  <c r="J6" i="7" s="1"/>
  <c r="W11" i="7"/>
  <c r="X11" i="7" s="1"/>
  <c r="I13" i="5"/>
  <c r="J13" i="5" s="1"/>
  <c r="I11" i="5"/>
  <c r="J11" i="5" s="1"/>
  <c r="AB11" i="5" s="1"/>
  <c r="I9" i="5"/>
  <c r="J9" i="5" s="1"/>
  <c r="AB9" i="5" s="1"/>
  <c r="I7" i="5"/>
  <c r="J7" i="5" s="1"/>
  <c r="AB7" i="5" s="1"/>
  <c r="I5" i="5"/>
  <c r="J5" i="5" s="1"/>
  <c r="Y10" i="5"/>
  <c r="AC8" i="5"/>
  <c r="AC12" i="5"/>
  <c r="AC10" i="5"/>
  <c r="Y8" i="5"/>
  <c r="Y6" i="5"/>
  <c r="Y11" i="5"/>
  <c r="Y7" i="5"/>
  <c r="I19" i="5"/>
  <c r="J19" i="5" s="1"/>
  <c r="Y13" i="5"/>
  <c r="AC11" i="5"/>
  <c r="Y9" i="5"/>
  <c r="AC7" i="5"/>
  <c r="Y5" i="5"/>
  <c r="AB13" i="5"/>
  <c r="AM13" i="5" s="1"/>
  <c r="AB5" i="5"/>
  <c r="I14" i="5"/>
  <c r="J14" i="5" s="1"/>
  <c r="I20" i="5"/>
  <c r="J20" i="5" s="1"/>
  <c r="AB20" i="5" s="1"/>
  <c r="AM20" i="5" s="1"/>
  <c r="AC19" i="5"/>
  <c r="AA19" i="5"/>
  <c r="Y19" i="5"/>
  <c r="AC17" i="5"/>
  <c r="AA17" i="5"/>
  <c r="AB17" i="5" s="1"/>
  <c r="Y17" i="5"/>
  <c r="AC15" i="5"/>
  <c r="AA15" i="5"/>
  <c r="AB15" i="5" s="1"/>
  <c r="Y15" i="5"/>
  <c r="I18" i="5"/>
  <c r="J18" i="5" s="1"/>
  <c r="I16" i="5"/>
  <c r="J16" i="5" s="1"/>
  <c r="AC18" i="5"/>
  <c r="AA18" i="5"/>
  <c r="Y18" i="5"/>
  <c r="AC16" i="5"/>
  <c r="AA16" i="5"/>
  <c r="Y16" i="5"/>
  <c r="AC14" i="5"/>
  <c r="AA14" i="5"/>
  <c r="AB14" i="5" s="1"/>
  <c r="Y14" i="5"/>
  <c r="I12" i="5"/>
  <c r="J12" i="5" s="1"/>
  <c r="AB12" i="5" s="1"/>
  <c r="AM12" i="5" s="1"/>
  <c r="I10" i="5"/>
  <c r="J10" i="5" s="1"/>
  <c r="AB10" i="5" s="1"/>
  <c r="I8" i="5"/>
  <c r="J8" i="5" s="1"/>
  <c r="AB8" i="5" s="1"/>
  <c r="AM8" i="5" s="1"/>
  <c r="I6" i="5"/>
  <c r="J6" i="5" s="1"/>
  <c r="AB6" i="5" s="1"/>
  <c r="AM6" i="5" s="1"/>
  <c r="W28" i="4"/>
  <c r="W26" i="4"/>
  <c r="X26" i="4" s="1"/>
  <c r="W24" i="4"/>
  <c r="X24" i="4" s="1"/>
  <c r="W22" i="4"/>
  <c r="X22" i="4" s="1"/>
  <c r="W20" i="4"/>
  <c r="X20" i="4" s="1"/>
  <c r="I19" i="4"/>
  <c r="J19" i="4" s="1"/>
  <c r="I28" i="4"/>
  <c r="J28" i="4" s="1"/>
  <c r="AB28" i="4" s="1"/>
  <c r="AM28" i="4" s="1"/>
  <c r="I26" i="4"/>
  <c r="J26" i="4" s="1"/>
  <c r="I24" i="4"/>
  <c r="J24" i="4" s="1"/>
  <c r="I22" i="4"/>
  <c r="J22" i="4" s="1"/>
  <c r="I20" i="4"/>
  <c r="J20" i="4" s="1"/>
  <c r="W16" i="4"/>
  <c r="X16" i="4" s="1"/>
  <c r="W14" i="4"/>
  <c r="X14" i="4" s="1"/>
  <c r="W12" i="4"/>
  <c r="X12" i="4" s="1"/>
  <c r="W10" i="4"/>
  <c r="X10" i="4" s="1"/>
  <c r="W8" i="4"/>
  <c r="X8" i="4" s="1"/>
  <c r="W17" i="4"/>
  <c r="X17" i="4" s="1"/>
  <c r="W15" i="4"/>
  <c r="X15" i="4" s="1"/>
  <c r="W13" i="4"/>
  <c r="X13" i="4" s="1"/>
  <c r="W11" i="4"/>
  <c r="X11" i="4" s="1"/>
  <c r="W9" i="4"/>
  <c r="X9" i="4" s="1"/>
  <c r="W7" i="4"/>
  <c r="X7" i="4" s="1"/>
  <c r="W27" i="4"/>
  <c r="X27" i="4" s="1"/>
  <c r="W25" i="4"/>
  <c r="X25" i="4" s="1"/>
  <c r="W23" i="4"/>
  <c r="X23" i="4" s="1"/>
  <c r="W21" i="4"/>
  <c r="X21" i="4" s="1"/>
  <c r="W19" i="4"/>
  <c r="X19" i="4" s="1"/>
  <c r="W18" i="4"/>
  <c r="X18" i="4" s="1"/>
  <c r="I27" i="4"/>
  <c r="J27" i="4" s="1"/>
  <c r="I25" i="4"/>
  <c r="J25" i="4" s="1"/>
  <c r="I23" i="4"/>
  <c r="J23" i="4" s="1"/>
  <c r="I21" i="4"/>
  <c r="J21" i="4" s="1"/>
  <c r="I17" i="4"/>
  <c r="J17" i="4" s="1"/>
  <c r="I15" i="4"/>
  <c r="J15" i="4" s="1"/>
  <c r="I13" i="4"/>
  <c r="J13" i="4" s="1"/>
  <c r="I11" i="4"/>
  <c r="J11" i="4" s="1"/>
  <c r="I9" i="4"/>
  <c r="J9" i="4" s="1"/>
  <c r="I16" i="4"/>
  <c r="J16" i="4" s="1"/>
  <c r="I14" i="4"/>
  <c r="J14" i="4" s="1"/>
  <c r="I12" i="4"/>
  <c r="J12" i="4" s="1"/>
  <c r="I10" i="4"/>
  <c r="J10" i="4" s="1"/>
  <c r="I8" i="4"/>
  <c r="J8" i="4" s="1"/>
  <c r="I7" i="4"/>
  <c r="J7" i="4" s="1"/>
  <c r="W6" i="4"/>
  <c r="X6" i="4" s="1"/>
  <c r="AC6" i="4" s="1"/>
  <c r="I5" i="4"/>
  <c r="J5" i="4" s="1"/>
  <c r="I6" i="4"/>
  <c r="J6" i="4" s="1"/>
  <c r="AA6" i="4"/>
  <c r="AC5" i="4"/>
  <c r="AA5" i="4"/>
  <c r="Y5" i="4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K4" i="1"/>
  <c r="AJ4" i="1"/>
  <c r="AI4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C36" i="1"/>
  <c r="AC4" i="1"/>
  <c r="AA36" i="1"/>
  <c r="AA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Y36" i="1"/>
  <c r="Y4" i="1"/>
  <c r="U5" i="1"/>
  <c r="U4" i="1"/>
  <c r="V5" i="1"/>
  <c r="V4" i="1"/>
  <c r="W4" i="1" s="1"/>
  <c r="U6" i="1"/>
  <c r="V6" i="1" s="1"/>
  <c r="W6" i="1" s="1"/>
  <c r="X6" i="1" s="1"/>
  <c r="U7" i="1"/>
  <c r="V7" i="1" s="1"/>
  <c r="W7" i="1" s="1"/>
  <c r="X7" i="1" s="1"/>
  <c r="U8" i="1"/>
  <c r="V8" i="1" s="1"/>
  <c r="W8" i="1" s="1"/>
  <c r="X8" i="1" s="1"/>
  <c r="U9" i="1"/>
  <c r="V9" i="1" s="1"/>
  <c r="W9" i="1" s="1"/>
  <c r="X9" i="1" s="1"/>
  <c r="U10" i="1"/>
  <c r="V10" i="1" s="1"/>
  <c r="W10" i="1" s="1"/>
  <c r="X10" i="1" s="1"/>
  <c r="U11" i="1"/>
  <c r="V11" i="1" s="1"/>
  <c r="W11" i="1" s="1"/>
  <c r="X11" i="1" s="1"/>
  <c r="U12" i="1"/>
  <c r="V12" i="1" s="1"/>
  <c r="W12" i="1" s="1"/>
  <c r="X12" i="1" s="1"/>
  <c r="U13" i="1"/>
  <c r="V13" i="1" s="1"/>
  <c r="W13" i="1" s="1"/>
  <c r="X13" i="1" s="1"/>
  <c r="U14" i="1"/>
  <c r="V14" i="1" s="1"/>
  <c r="W14" i="1" s="1"/>
  <c r="X14" i="1" s="1"/>
  <c r="U15" i="1"/>
  <c r="V15" i="1" s="1"/>
  <c r="W15" i="1" s="1"/>
  <c r="X15" i="1" s="1"/>
  <c r="U16" i="1"/>
  <c r="V16" i="1" s="1"/>
  <c r="W16" i="1" s="1"/>
  <c r="X16" i="1" s="1"/>
  <c r="U17" i="1"/>
  <c r="V17" i="1" s="1"/>
  <c r="W17" i="1" s="1"/>
  <c r="X17" i="1" s="1"/>
  <c r="U18" i="1"/>
  <c r="V18" i="1" s="1"/>
  <c r="W18" i="1" s="1"/>
  <c r="X18" i="1" s="1"/>
  <c r="U19" i="1"/>
  <c r="V19" i="1" s="1"/>
  <c r="W19" i="1" s="1"/>
  <c r="X19" i="1" s="1"/>
  <c r="U20" i="1"/>
  <c r="V20" i="1" s="1"/>
  <c r="W20" i="1" s="1"/>
  <c r="X20" i="1" s="1"/>
  <c r="U21" i="1"/>
  <c r="V21" i="1" s="1"/>
  <c r="W21" i="1" s="1"/>
  <c r="X21" i="1" s="1"/>
  <c r="U22" i="1"/>
  <c r="V22" i="1" s="1"/>
  <c r="W22" i="1" s="1"/>
  <c r="X22" i="1" s="1"/>
  <c r="U23" i="1"/>
  <c r="V23" i="1" s="1"/>
  <c r="W23" i="1" s="1"/>
  <c r="X23" i="1" s="1"/>
  <c r="U24" i="1"/>
  <c r="V24" i="1" s="1"/>
  <c r="W24" i="1" s="1"/>
  <c r="X24" i="1" s="1"/>
  <c r="U25" i="1"/>
  <c r="V25" i="1" s="1"/>
  <c r="W25" i="1" s="1"/>
  <c r="X25" i="1" s="1"/>
  <c r="U26" i="1"/>
  <c r="V26" i="1" s="1"/>
  <c r="W26" i="1" s="1"/>
  <c r="X26" i="1" s="1"/>
  <c r="U27" i="1"/>
  <c r="V27" i="1" s="1"/>
  <c r="W27" i="1" s="1"/>
  <c r="X27" i="1" s="1"/>
  <c r="U28" i="1"/>
  <c r="V28" i="1" s="1"/>
  <c r="W28" i="1" s="1"/>
  <c r="X28" i="1" s="1"/>
  <c r="U29" i="1"/>
  <c r="V29" i="1" s="1"/>
  <c r="W29" i="1" s="1"/>
  <c r="X29" i="1" s="1"/>
  <c r="U30" i="1"/>
  <c r="V30" i="1" s="1"/>
  <c r="W30" i="1" s="1"/>
  <c r="X30" i="1" s="1"/>
  <c r="U31" i="1"/>
  <c r="V31" i="1" s="1"/>
  <c r="W31" i="1" s="1"/>
  <c r="X31" i="1" s="1"/>
  <c r="U32" i="1"/>
  <c r="V32" i="1" s="1"/>
  <c r="W32" i="1" s="1"/>
  <c r="X32" i="1" s="1"/>
  <c r="U33" i="1"/>
  <c r="V33" i="1" s="1"/>
  <c r="W33" i="1" s="1"/>
  <c r="X33" i="1" s="1"/>
  <c r="U34" i="1"/>
  <c r="V34" i="1" s="1"/>
  <c r="W34" i="1" s="1"/>
  <c r="X34" i="1" s="1"/>
  <c r="U35" i="1"/>
  <c r="V35" i="1" s="1"/>
  <c r="W35" i="1" s="1"/>
  <c r="X35" i="1" s="1"/>
  <c r="U36" i="1"/>
  <c r="V36" i="1" s="1"/>
  <c r="W36" i="1" s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4" i="1"/>
  <c r="S4" i="1" s="1"/>
  <c r="Z4" i="1" s="1"/>
  <c r="H8" i="1"/>
  <c r="H12" i="1"/>
  <c r="H16" i="1"/>
  <c r="H20" i="1"/>
  <c r="G5" i="1"/>
  <c r="H5" i="1" s="1"/>
  <c r="G6" i="1"/>
  <c r="H6" i="1" s="1"/>
  <c r="I6" i="1" s="1"/>
  <c r="J6" i="1" s="1"/>
  <c r="G7" i="1"/>
  <c r="H7" i="1" s="1"/>
  <c r="G8" i="1"/>
  <c r="G9" i="1"/>
  <c r="H9" i="1" s="1"/>
  <c r="G10" i="1"/>
  <c r="H10" i="1" s="1"/>
  <c r="I10" i="1" s="1"/>
  <c r="J10" i="1" s="1"/>
  <c r="G11" i="1"/>
  <c r="H11" i="1" s="1"/>
  <c r="G12" i="1"/>
  <c r="G13" i="1"/>
  <c r="H13" i="1" s="1"/>
  <c r="G14" i="1"/>
  <c r="H14" i="1" s="1"/>
  <c r="I14" i="1" s="1"/>
  <c r="J14" i="1" s="1"/>
  <c r="G15" i="1"/>
  <c r="H15" i="1" s="1"/>
  <c r="G16" i="1"/>
  <c r="G17" i="1"/>
  <c r="H17" i="1" s="1"/>
  <c r="G18" i="1"/>
  <c r="H18" i="1" s="1"/>
  <c r="I18" i="1" s="1"/>
  <c r="J18" i="1" s="1"/>
  <c r="G19" i="1"/>
  <c r="H19" i="1" s="1"/>
  <c r="G20" i="1"/>
  <c r="G21" i="1"/>
  <c r="H21" i="1" s="1"/>
  <c r="G22" i="1"/>
  <c r="H22" i="1" s="1"/>
  <c r="I22" i="1" s="1"/>
  <c r="J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4" i="1"/>
  <c r="H4" i="1" s="1"/>
  <c r="I4" i="1" s="1"/>
  <c r="J4" i="1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4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AB4" i="1" l="1"/>
  <c r="AM4" i="1" s="1"/>
  <c r="AB22" i="10"/>
  <c r="AM22" i="10" s="1"/>
  <c r="AM29" i="10"/>
  <c r="Y30" i="10"/>
  <c r="AM30" i="10" s="1"/>
  <c r="AM21" i="10"/>
  <c r="AB20" i="10"/>
  <c r="Y20" i="10"/>
  <c r="AB19" i="10"/>
  <c r="Y5" i="10"/>
  <c r="AM25" i="10"/>
  <c r="AM7" i="10"/>
  <c r="AM31" i="10"/>
  <c r="AA8" i="10"/>
  <c r="AB8" i="10" s="1"/>
  <c r="AC8" i="10"/>
  <c r="Y8" i="10"/>
  <c r="AA9" i="10"/>
  <c r="AB9" i="10" s="1"/>
  <c r="AC9" i="10"/>
  <c r="Y9" i="10"/>
  <c r="AA13" i="10"/>
  <c r="AB13" i="10" s="1"/>
  <c r="AC13" i="10"/>
  <c r="Y13" i="10"/>
  <c r="AB26" i="10"/>
  <c r="AM26" i="10" s="1"/>
  <c r="AB27" i="10"/>
  <c r="AM27" i="10" s="1"/>
  <c r="AB14" i="10"/>
  <c r="AM14" i="10" s="1"/>
  <c r="AB10" i="10"/>
  <c r="AM10" i="10" s="1"/>
  <c r="AC17" i="10"/>
  <c r="AA17" i="10"/>
  <c r="AB17" i="10" s="1"/>
  <c r="AM17" i="10" s="1"/>
  <c r="Y17" i="10"/>
  <c r="AM19" i="10"/>
  <c r="AM23" i="10"/>
  <c r="AM28" i="10"/>
  <c r="AA11" i="10"/>
  <c r="AB11" i="10" s="1"/>
  <c r="AC11" i="10"/>
  <c r="Y11" i="10"/>
  <c r="AA15" i="10"/>
  <c r="AB15" i="10" s="1"/>
  <c r="AC15" i="10"/>
  <c r="Y15" i="10"/>
  <c r="AB24" i="10"/>
  <c r="AM24" i="10" s="1"/>
  <c r="AB16" i="10"/>
  <c r="AM16" i="10" s="1"/>
  <c r="AB12" i="10"/>
  <c r="AM12" i="10" s="1"/>
  <c r="AB6" i="10"/>
  <c r="AM6" i="10" s="1"/>
  <c r="Y27" i="9"/>
  <c r="AM28" i="9"/>
  <c r="AC26" i="9"/>
  <c r="Y23" i="9"/>
  <c r="Y21" i="9"/>
  <c r="Y11" i="9"/>
  <c r="Y17" i="9"/>
  <c r="AB26" i="9"/>
  <c r="AB27" i="9"/>
  <c r="AM27" i="9" s="1"/>
  <c r="Y29" i="9"/>
  <c r="Y26" i="9"/>
  <c r="AB29" i="9"/>
  <c r="AM29" i="9" s="1"/>
  <c r="AC5" i="9"/>
  <c r="AA5" i="9"/>
  <c r="AB5" i="9" s="1"/>
  <c r="AM5" i="9" s="1"/>
  <c r="Y5" i="9"/>
  <c r="AC9" i="9"/>
  <c r="AA9" i="9"/>
  <c r="Y9" i="9"/>
  <c r="AC25" i="9"/>
  <c r="AA25" i="9"/>
  <c r="AB25" i="9" s="1"/>
  <c r="Y25" i="9"/>
  <c r="AB30" i="9"/>
  <c r="AM30" i="9" s="1"/>
  <c r="AC6" i="9"/>
  <c r="AA6" i="9"/>
  <c r="AB6" i="9" s="1"/>
  <c r="AM6" i="9" s="1"/>
  <c r="Y6" i="9"/>
  <c r="AC10" i="9"/>
  <c r="AA10" i="9"/>
  <c r="AB10" i="9" s="1"/>
  <c r="Y10" i="9"/>
  <c r="AC14" i="9"/>
  <c r="AA14" i="9"/>
  <c r="AB14" i="9" s="1"/>
  <c r="Y14" i="9"/>
  <c r="AA18" i="9"/>
  <c r="AC18" i="9"/>
  <c r="Y18" i="9"/>
  <c r="AB23" i="9"/>
  <c r="AB19" i="9"/>
  <c r="AM19" i="9" s="1"/>
  <c r="AB11" i="9"/>
  <c r="AB15" i="9"/>
  <c r="AM15" i="9" s="1"/>
  <c r="AB24" i="9"/>
  <c r="AM24" i="9" s="1"/>
  <c r="AB20" i="9"/>
  <c r="AM20" i="9" s="1"/>
  <c r="AC7" i="9"/>
  <c r="AA7" i="9"/>
  <c r="AB7" i="9" s="1"/>
  <c r="Y7" i="9"/>
  <c r="AC12" i="9"/>
  <c r="AA12" i="9"/>
  <c r="AB12" i="9" s="1"/>
  <c r="Y12" i="9"/>
  <c r="AC8" i="9"/>
  <c r="AA8" i="9"/>
  <c r="AB8" i="9" s="1"/>
  <c r="Y8" i="9"/>
  <c r="AC13" i="9"/>
  <c r="AA13" i="9"/>
  <c r="AB13" i="9" s="1"/>
  <c r="Y13" i="9"/>
  <c r="AC16" i="9"/>
  <c r="AA16" i="9"/>
  <c r="AB16" i="9" s="1"/>
  <c r="Y16" i="9"/>
  <c r="AB21" i="9"/>
  <c r="AM21" i="9" s="1"/>
  <c r="AB9" i="9"/>
  <c r="AB17" i="9"/>
  <c r="AB22" i="9"/>
  <c r="AM22" i="9" s="1"/>
  <c r="AB18" i="9"/>
  <c r="AM5" i="8"/>
  <c r="AM9" i="8"/>
  <c r="AM13" i="8"/>
  <c r="AB20" i="8"/>
  <c r="AM20" i="8" s="1"/>
  <c r="AM24" i="8"/>
  <c r="AB21" i="8"/>
  <c r="AM21" i="8" s="1"/>
  <c r="AB25" i="8"/>
  <c r="AM25" i="8" s="1"/>
  <c r="AB28" i="8"/>
  <c r="AM28" i="8" s="1"/>
  <c r="AB29" i="8"/>
  <c r="AM29" i="8" s="1"/>
  <c r="AM17" i="8"/>
  <c r="AM7" i="8"/>
  <c r="AM11" i="8"/>
  <c r="AM15" i="8"/>
  <c r="AB22" i="8"/>
  <c r="AM22" i="8" s="1"/>
  <c r="AB26" i="8"/>
  <c r="AM26" i="8" s="1"/>
  <c r="AB19" i="8"/>
  <c r="AM19" i="8" s="1"/>
  <c r="AB23" i="8"/>
  <c r="AM23" i="8" s="1"/>
  <c r="AB27" i="8"/>
  <c r="AM27" i="8" s="1"/>
  <c r="AM18" i="8"/>
  <c r="AB8" i="8"/>
  <c r="AM8" i="8" s="1"/>
  <c r="AB12" i="8"/>
  <c r="AM12" i="8" s="1"/>
  <c r="AB16" i="8"/>
  <c r="AM16" i="8" s="1"/>
  <c r="AB6" i="8"/>
  <c r="AM6" i="8" s="1"/>
  <c r="AB10" i="8"/>
  <c r="AM10" i="8" s="1"/>
  <c r="AB14" i="8"/>
  <c r="AM14" i="8" s="1"/>
  <c r="AB8" i="7"/>
  <c r="AC9" i="7"/>
  <c r="Y13" i="7"/>
  <c r="AC15" i="7"/>
  <c r="AM15" i="7" s="1"/>
  <c r="Y17" i="7"/>
  <c r="AA20" i="7"/>
  <c r="AB20" i="7" s="1"/>
  <c r="AM20" i="7" s="1"/>
  <c r="Y20" i="7"/>
  <c r="Y10" i="7"/>
  <c r="AC8" i="7"/>
  <c r="Y9" i="7"/>
  <c r="AC13" i="7"/>
  <c r="Y15" i="7"/>
  <c r="AC17" i="7"/>
  <c r="Y19" i="7"/>
  <c r="AB10" i="7"/>
  <c r="AA19" i="7"/>
  <c r="AB19" i="7" s="1"/>
  <c r="AB6" i="7"/>
  <c r="AM6" i="7" s="1"/>
  <c r="AM8" i="7"/>
  <c r="AM12" i="7"/>
  <c r="AM14" i="7"/>
  <c r="AM16" i="7"/>
  <c r="AM18" i="7"/>
  <c r="AB7" i="7"/>
  <c r="AM7" i="7" s="1"/>
  <c r="AC11" i="7"/>
  <c r="AA11" i="7"/>
  <c r="AB11" i="7" s="1"/>
  <c r="Y11" i="7"/>
  <c r="AC5" i="7"/>
  <c r="Y5" i="7"/>
  <c r="AA5" i="7"/>
  <c r="AB5" i="7" s="1"/>
  <c r="AB9" i="7"/>
  <c r="AM7" i="5"/>
  <c r="AM10" i="5"/>
  <c r="AM9" i="5"/>
  <c r="AB19" i="5"/>
  <c r="AM11" i="5"/>
  <c r="AM5" i="5"/>
  <c r="AM14" i="5"/>
  <c r="AM15" i="5"/>
  <c r="AB18" i="5"/>
  <c r="AM18" i="5" s="1"/>
  <c r="AM19" i="5"/>
  <c r="AM17" i="5"/>
  <c r="AB16" i="5"/>
  <c r="AM16" i="5" s="1"/>
  <c r="Y6" i="4"/>
  <c r="AC19" i="4"/>
  <c r="AA19" i="4"/>
  <c r="Y19" i="4"/>
  <c r="AC23" i="4"/>
  <c r="AA23" i="4"/>
  <c r="AB23" i="4" s="1"/>
  <c r="AM23" i="4" s="1"/>
  <c r="Y23" i="4"/>
  <c r="AC27" i="4"/>
  <c r="AA27" i="4"/>
  <c r="AB27" i="4" s="1"/>
  <c r="AM27" i="4" s="1"/>
  <c r="Y27" i="4"/>
  <c r="AC9" i="4"/>
  <c r="AA9" i="4"/>
  <c r="AB9" i="4" s="1"/>
  <c r="AM9" i="4" s="1"/>
  <c r="Y9" i="4"/>
  <c r="AC13" i="4"/>
  <c r="AA13" i="4"/>
  <c r="AB13" i="4" s="1"/>
  <c r="AM13" i="4" s="1"/>
  <c r="Y13" i="4"/>
  <c r="AC17" i="4"/>
  <c r="AA17" i="4"/>
  <c r="AB17" i="4" s="1"/>
  <c r="AM17" i="4" s="1"/>
  <c r="Y17" i="4"/>
  <c r="AC10" i="4"/>
  <c r="AA10" i="4"/>
  <c r="AB10" i="4" s="1"/>
  <c r="AM10" i="4" s="1"/>
  <c r="Y10" i="4"/>
  <c r="AC14" i="4"/>
  <c r="AA14" i="4"/>
  <c r="AB14" i="4" s="1"/>
  <c r="AM14" i="4" s="1"/>
  <c r="Y14" i="4"/>
  <c r="AB20" i="4"/>
  <c r="AC20" i="4"/>
  <c r="AA20" i="4"/>
  <c r="Y20" i="4"/>
  <c r="AC24" i="4"/>
  <c r="AA24" i="4"/>
  <c r="AB24" i="4" s="1"/>
  <c r="AM24" i="4" s="1"/>
  <c r="Y24" i="4"/>
  <c r="AC18" i="4"/>
  <c r="AA18" i="4"/>
  <c r="AB18" i="4" s="1"/>
  <c r="AM18" i="4" s="1"/>
  <c r="Y18" i="4"/>
  <c r="AC21" i="4"/>
  <c r="AA21" i="4"/>
  <c r="AB21" i="4" s="1"/>
  <c r="AM21" i="4" s="1"/>
  <c r="Y21" i="4"/>
  <c r="AC25" i="4"/>
  <c r="AA25" i="4"/>
  <c r="AB25" i="4" s="1"/>
  <c r="AM25" i="4" s="1"/>
  <c r="Y25" i="4"/>
  <c r="AC7" i="4"/>
  <c r="AA7" i="4"/>
  <c r="AB7" i="4" s="1"/>
  <c r="AM7" i="4" s="1"/>
  <c r="Y7" i="4"/>
  <c r="AC11" i="4"/>
  <c r="AA11" i="4"/>
  <c r="AB11" i="4" s="1"/>
  <c r="AM11" i="4" s="1"/>
  <c r="Y11" i="4"/>
  <c r="AC15" i="4"/>
  <c r="AA15" i="4"/>
  <c r="AB15" i="4" s="1"/>
  <c r="AM15" i="4" s="1"/>
  <c r="Y15" i="4"/>
  <c r="AC8" i="4"/>
  <c r="AA8" i="4"/>
  <c r="AB8" i="4" s="1"/>
  <c r="AM8" i="4" s="1"/>
  <c r="Y8" i="4"/>
  <c r="AC12" i="4"/>
  <c r="AA12" i="4"/>
  <c r="AB12" i="4" s="1"/>
  <c r="AM12" i="4" s="1"/>
  <c r="Y12" i="4"/>
  <c r="AC16" i="4"/>
  <c r="AA16" i="4"/>
  <c r="AB16" i="4" s="1"/>
  <c r="AM16" i="4" s="1"/>
  <c r="Y16" i="4"/>
  <c r="AB19" i="4"/>
  <c r="AM19" i="4" s="1"/>
  <c r="AC22" i="4"/>
  <c r="AA22" i="4"/>
  <c r="AB22" i="4" s="1"/>
  <c r="AM22" i="4" s="1"/>
  <c r="Y22" i="4"/>
  <c r="AC26" i="4"/>
  <c r="AA26" i="4"/>
  <c r="AB26" i="4" s="1"/>
  <c r="AM26" i="4" s="1"/>
  <c r="Y26" i="4"/>
  <c r="I36" i="1"/>
  <c r="J36" i="1" s="1"/>
  <c r="AB36" i="1" s="1"/>
  <c r="AM36" i="1" s="1"/>
  <c r="I34" i="1"/>
  <c r="J34" i="1" s="1"/>
  <c r="AB34" i="1" s="1"/>
  <c r="AM34" i="1" s="1"/>
  <c r="I32" i="1"/>
  <c r="J32" i="1" s="1"/>
  <c r="I30" i="1"/>
  <c r="J30" i="1" s="1"/>
  <c r="I28" i="1"/>
  <c r="J28" i="1" s="1"/>
  <c r="I26" i="1"/>
  <c r="J26" i="1" s="1"/>
  <c r="AB26" i="1" s="1"/>
  <c r="AM26" i="1" s="1"/>
  <c r="I24" i="1"/>
  <c r="J24" i="1" s="1"/>
  <c r="I35" i="1"/>
  <c r="J35" i="1" s="1"/>
  <c r="I33" i="1"/>
  <c r="J33" i="1" s="1"/>
  <c r="I31" i="1"/>
  <c r="J31" i="1" s="1"/>
  <c r="I29" i="1"/>
  <c r="J29" i="1" s="1"/>
  <c r="I27" i="1"/>
  <c r="J27" i="1" s="1"/>
  <c r="I25" i="1"/>
  <c r="J25" i="1" s="1"/>
  <c r="I23" i="1"/>
  <c r="J23" i="1" s="1"/>
  <c r="I21" i="1"/>
  <c r="J21" i="1" s="1"/>
  <c r="I19" i="1"/>
  <c r="J19" i="1" s="1"/>
  <c r="I17" i="1"/>
  <c r="J17" i="1" s="1"/>
  <c r="I15" i="1"/>
  <c r="J15" i="1" s="1"/>
  <c r="I13" i="1"/>
  <c r="J13" i="1" s="1"/>
  <c r="I11" i="1"/>
  <c r="J11" i="1" s="1"/>
  <c r="I9" i="1"/>
  <c r="J9" i="1" s="1"/>
  <c r="I7" i="1"/>
  <c r="J7" i="1" s="1"/>
  <c r="I5" i="1"/>
  <c r="J5" i="1" s="1"/>
  <c r="I20" i="1"/>
  <c r="J20" i="1" s="1"/>
  <c r="I16" i="1"/>
  <c r="J16" i="1" s="1"/>
  <c r="I12" i="1"/>
  <c r="J12" i="1" s="1"/>
  <c r="I8" i="1"/>
  <c r="J8" i="1" s="1"/>
  <c r="AA34" i="1"/>
  <c r="Y34" i="1"/>
  <c r="AC34" i="1"/>
  <c r="AA32" i="1"/>
  <c r="AB32" i="1" s="1"/>
  <c r="Y32" i="1"/>
  <c r="AC32" i="1"/>
  <c r="AA30" i="1"/>
  <c r="Y30" i="1"/>
  <c r="AC30" i="1"/>
  <c r="AA28" i="1"/>
  <c r="AB28" i="1" s="1"/>
  <c r="Y28" i="1"/>
  <c r="AC28" i="1"/>
  <c r="AA26" i="1"/>
  <c r="Y26" i="1"/>
  <c r="AC26" i="1"/>
  <c r="AA24" i="1"/>
  <c r="AB24" i="1" s="1"/>
  <c r="Y24" i="1"/>
  <c r="AC24" i="1"/>
  <c r="AA22" i="1"/>
  <c r="Y22" i="1"/>
  <c r="AC22" i="1"/>
  <c r="AA20" i="1"/>
  <c r="Y20" i="1"/>
  <c r="AC20" i="1"/>
  <c r="AA6" i="1"/>
  <c r="AB6" i="1" s="1"/>
  <c r="Y6" i="1"/>
  <c r="AC6" i="1"/>
  <c r="AB30" i="1"/>
  <c r="AB22" i="1"/>
  <c r="AC35" i="1"/>
  <c r="AA35" i="1"/>
  <c r="Y35" i="1"/>
  <c r="AC33" i="1"/>
  <c r="AA33" i="1"/>
  <c r="Y33" i="1"/>
  <c r="AC31" i="1"/>
  <c r="AA31" i="1"/>
  <c r="Y31" i="1"/>
  <c r="AC29" i="1"/>
  <c r="AA29" i="1"/>
  <c r="Y29" i="1"/>
  <c r="AC27" i="1"/>
  <c r="AA27" i="1"/>
  <c r="Y27" i="1"/>
  <c r="AC25" i="1"/>
  <c r="AA25" i="1"/>
  <c r="Y25" i="1"/>
  <c r="AC23" i="1"/>
  <c r="AA23" i="1"/>
  <c r="Y23" i="1"/>
  <c r="AC21" i="1"/>
  <c r="AA21" i="1"/>
  <c r="Y21" i="1"/>
  <c r="AC19" i="1"/>
  <c r="AA19" i="1"/>
  <c r="Y19" i="1"/>
  <c r="AC17" i="1"/>
  <c r="AA17" i="1"/>
  <c r="Y17" i="1"/>
  <c r="AC15" i="1"/>
  <c r="AA15" i="1"/>
  <c r="Y15" i="1"/>
  <c r="AC13" i="1"/>
  <c r="AA13" i="1"/>
  <c r="Y13" i="1"/>
  <c r="AC11" i="1"/>
  <c r="AA11" i="1"/>
  <c r="Y11" i="1"/>
  <c r="AC9" i="1"/>
  <c r="AA9" i="1"/>
  <c r="Y9" i="1"/>
  <c r="AC7" i="1"/>
  <c r="AA7" i="1"/>
  <c r="Y7" i="1"/>
  <c r="AA18" i="1"/>
  <c r="AB18" i="1" s="1"/>
  <c r="Y18" i="1"/>
  <c r="AC18" i="1"/>
  <c r="AA16" i="1"/>
  <c r="Y16" i="1"/>
  <c r="AC16" i="1"/>
  <c r="AA14" i="1"/>
  <c r="AB14" i="1" s="1"/>
  <c r="Y14" i="1"/>
  <c r="AC14" i="1"/>
  <c r="AA12" i="1"/>
  <c r="Y12" i="1"/>
  <c r="AC12" i="1"/>
  <c r="AA10" i="1"/>
  <c r="AB10" i="1" s="1"/>
  <c r="Y10" i="1"/>
  <c r="AC10" i="1"/>
  <c r="AA8" i="1"/>
  <c r="Y8" i="1"/>
  <c r="AC8" i="1"/>
  <c r="W5" i="1"/>
  <c r="X5" i="1" s="1"/>
  <c r="AB6" i="4"/>
  <c r="AM6" i="4" s="1"/>
  <c r="AB5" i="4"/>
  <c r="AM5" i="4" s="1"/>
  <c r="AM8" i="10" l="1"/>
  <c r="AM20" i="10"/>
  <c r="AM11" i="10"/>
  <c r="AM9" i="10"/>
  <c r="AM15" i="10"/>
  <c r="AM13" i="10"/>
  <c r="AM11" i="9"/>
  <c r="AM10" i="9"/>
  <c r="AM25" i="9"/>
  <c r="AM23" i="9"/>
  <c r="AM18" i="9"/>
  <c r="AM17" i="9"/>
  <c r="AM14" i="9"/>
  <c r="AM9" i="9"/>
  <c r="AM26" i="9"/>
  <c r="AM16" i="9"/>
  <c r="AM8" i="9"/>
  <c r="AM7" i="9"/>
  <c r="AM13" i="9"/>
  <c r="AM12" i="9"/>
  <c r="AM9" i="7"/>
  <c r="AM19" i="7"/>
  <c r="AM17" i="7"/>
  <c r="AM13" i="7"/>
  <c r="AM10" i="7"/>
  <c r="AM11" i="7"/>
  <c r="AM5" i="7"/>
  <c r="AM20" i="4"/>
  <c r="AM10" i="1"/>
  <c r="AM14" i="1"/>
  <c r="AM18" i="1"/>
  <c r="AM24" i="1"/>
  <c r="AM28" i="1"/>
  <c r="AM32" i="1"/>
  <c r="AC5" i="1"/>
  <c r="AA5" i="1"/>
  <c r="Y5" i="1"/>
  <c r="AM6" i="1"/>
  <c r="AM22" i="1"/>
  <c r="AM30" i="1"/>
  <c r="AB12" i="1"/>
  <c r="AM12" i="1" s="1"/>
  <c r="AB20" i="1"/>
  <c r="AM20" i="1" s="1"/>
  <c r="AB7" i="1"/>
  <c r="AM7" i="1" s="1"/>
  <c r="AB11" i="1"/>
  <c r="AM11" i="1" s="1"/>
  <c r="AB15" i="1"/>
  <c r="AM15" i="1" s="1"/>
  <c r="AB19" i="1"/>
  <c r="AM19" i="1" s="1"/>
  <c r="AB23" i="1"/>
  <c r="AM23" i="1" s="1"/>
  <c r="AB27" i="1"/>
  <c r="AM27" i="1" s="1"/>
  <c r="AB31" i="1"/>
  <c r="AM31" i="1" s="1"/>
  <c r="AB35" i="1"/>
  <c r="AM35" i="1" s="1"/>
  <c r="AB8" i="1"/>
  <c r="AM8" i="1" s="1"/>
  <c r="AB16" i="1"/>
  <c r="AM16" i="1" s="1"/>
  <c r="AB5" i="1"/>
  <c r="AM5" i="1" s="1"/>
  <c r="AB9" i="1"/>
  <c r="AM9" i="1" s="1"/>
  <c r="AB13" i="1"/>
  <c r="AM13" i="1" s="1"/>
  <c r="AB17" i="1"/>
  <c r="AM17" i="1" s="1"/>
  <c r="AB21" i="1"/>
  <c r="AM21" i="1" s="1"/>
  <c r="AB25" i="1"/>
  <c r="AM25" i="1" s="1"/>
  <c r="AB29" i="1"/>
  <c r="AM29" i="1" s="1"/>
  <c r="AB33" i="1"/>
  <c r="AM33" i="1" s="1"/>
</calcChain>
</file>

<file path=xl/sharedStrings.xml><?xml version="1.0" encoding="utf-8"?>
<sst xmlns="http://schemas.openxmlformats.org/spreadsheetml/2006/main" count="399" uniqueCount="42">
  <si>
    <t>Stasiun</t>
  </si>
  <si>
    <t>base</t>
  </si>
  <si>
    <t>line</t>
  </si>
  <si>
    <t>Base</t>
  </si>
  <si>
    <t>waktu</t>
  </si>
  <si>
    <t>(menit)</t>
  </si>
  <si>
    <t>bacaan</t>
  </si>
  <si>
    <t>koreksi</t>
  </si>
  <si>
    <t>tidal</t>
  </si>
  <si>
    <t>tide</t>
  </si>
  <si>
    <t>corr</t>
  </si>
  <si>
    <t>correction</t>
  </si>
  <si>
    <t>drift</t>
  </si>
  <si>
    <t>Δg</t>
  </si>
  <si>
    <t>G observasi absolut</t>
  </si>
  <si>
    <t>koordinat geodetic</t>
  </si>
  <si>
    <t>koordinat lintang</t>
  </si>
  <si>
    <t>koordinat bujur</t>
  </si>
  <si>
    <t>jam</t>
  </si>
  <si>
    <t>menit</t>
  </si>
  <si>
    <t>detik</t>
  </si>
  <si>
    <t>Lintang</t>
  </si>
  <si>
    <t>(Radian)</t>
  </si>
  <si>
    <t>elevasi</t>
  </si>
  <si>
    <t>(h)</t>
  </si>
  <si>
    <t>delta</t>
  </si>
  <si>
    <t xml:space="preserve">elevasi </t>
  </si>
  <si>
    <t>(GPS)</t>
  </si>
  <si>
    <t>CC</t>
  </si>
  <si>
    <t>G(φ)</t>
  </si>
  <si>
    <t>FAC</t>
  </si>
  <si>
    <t>FAA</t>
  </si>
  <si>
    <t>BC</t>
  </si>
  <si>
    <t>N</t>
  </si>
  <si>
    <t>E</t>
  </si>
  <si>
    <t>S</t>
  </si>
  <si>
    <t>W</t>
  </si>
  <si>
    <t>beda tinggi</t>
  </si>
  <si>
    <t>TC</t>
  </si>
  <si>
    <t>TC total</t>
  </si>
  <si>
    <t>CBA</t>
  </si>
  <si>
    <t>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</si>
</sst>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8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/>
    <xf numFmtId="1" fontId="0" fillId="0" borderId="0" xfId="0" applyNumberFormat="1"/>
    <xf numFmtId="0" fontId="2" fillId="0" borderId="0" xfId="0" applyFont="1" applyBorder="1"/>
    <xf numFmtId="0" fontId="0" fillId="0" borderId="0" xfId="0" applyAlignment="1">
      <alignment horizontal="center" vertical="center"/>
    </xf>
    <xf numFmtId="164" fontId="0" fillId="0" borderId="0" xfId="0" applyNumberFormat="1"/>
    <xf numFmtId="0" fontId="2" fillId="0" borderId="0" xfId="0" applyFont="1" applyFill="1" applyBorder="1"/>
    <xf numFmtId="165" fontId="0" fillId="0" borderId="0" xfId="0" applyNumberFormat="1"/>
    <xf numFmtId="0" fontId="1" fillId="2" borderId="1" xfId="1" applyBorder="1" applyAlignment="1">
      <alignment horizontal="center" vertical="center"/>
    </xf>
    <xf numFmtId="0" fontId="1" fillId="2" borderId="4" xfId="1" applyBorder="1" applyAlignment="1">
      <alignment horizontal="center" vertical="center"/>
    </xf>
    <xf numFmtId="0" fontId="1" fillId="2" borderId="4" xfId="1" applyBorder="1" applyAlignment="1">
      <alignment horizontal="center"/>
    </xf>
    <xf numFmtId="164" fontId="1" fillId="2" borderId="4" xfId="1" applyNumberFormat="1" applyBorder="1" applyAlignment="1">
      <alignment horizontal="center" vertical="center"/>
    </xf>
    <xf numFmtId="0" fontId="1" fillId="2" borderId="2" xfId="1" applyBorder="1" applyAlignment="1">
      <alignment vertical="center"/>
    </xf>
    <xf numFmtId="0" fontId="1" fillId="2" borderId="3" xfId="1" applyBorder="1" applyAlignment="1">
      <alignment horizontal="center" vertical="center"/>
    </xf>
    <xf numFmtId="0" fontId="0" fillId="0" borderId="0" xfId="0" applyNumberFormat="1"/>
    <xf numFmtId="0" fontId="0" fillId="0" borderId="0" xfId="0" quotePrefix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2" borderId="2" xfId="1" applyBorder="1" applyAlignment="1">
      <alignment horizontal="center" vertical="center"/>
    </xf>
    <xf numFmtId="0" fontId="1" fillId="2" borderId="3" xfId="1" applyBorder="1" applyAlignment="1">
      <alignment horizontal="center" vertical="center"/>
    </xf>
    <xf numFmtId="0" fontId="1" fillId="2" borderId="1" xfId="1" applyBorder="1" applyAlignment="1">
      <alignment horizontal="center" vertical="center"/>
    </xf>
    <xf numFmtId="0" fontId="1" fillId="2" borderId="2" xfId="1" applyBorder="1" applyAlignment="1">
      <alignment horizontal="center"/>
    </xf>
    <xf numFmtId="0" fontId="1" fillId="2" borderId="3" xfId="1" applyBorder="1" applyAlignment="1">
      <alignment horizontal="center"/>
    </xf>
    <xf numFmtId="0" fontId="1" fillId="4" borderId="1" xfId="3" applyBorder="1" applyAlignment="1">
      <alignment horizontal="center" vertical="center"/>
    </xf>
    <xf numFmtId="0" fontId="1" fillId="3" borderId="1" xfId="2" applyBorder="1" applyAlignment="1">
      <alignment horizontal="center"/>
    </xf>
    <xf numFmtId="0" fontId="1" fillId="2" borderId="4" xfId="1" applyBorder="1" applyAlignment="1">
      <alignment horizontal="center" vertical="center"/>
    </xf>
    <xf numFmtId="0" fontId="1" fillId="3" borderId="5" xfId="2" applyBorder="1" applyAlignment="1">
      <alignment horizontal="center"/>
    </xf>
    <xf numFmtId="0" fontId="1" fillId="3" borderId="6" xfId="2" applyBorder="1" applyAlignment="1">
      <alignment horizontal="center"/>
    </xf>
    <xf numFmtId="0" fontId="1" fillId="3" borderId="7" xfId="2" applyBorder="1" applyAlignment="1">
      <alignment horizontal="center"/>
    </xf>
    <xf numFmtId="0" fontId="1" fillId="4" borderId="5" xfId="3" applyBorder="1" applyAlignment="1">
      <alignment horizontal="center" vertical="center"/>
    </xf>
    <xf numFmtId="0" fontId="1" fillId="4" borderId="6" xfId="3" applyBorder="1" applyAlignment="1">
      <alignment horizontal="center" vertical="center"/>
    </xf>
    <xf numFmtId="0" fontId="1" fillId="4" borderId="7" xfId="3" applyBorder="1" applyAlignment="1">
      <alignment horizontal="center" vertical="center"/>
    </xf>
    <xf numFmtId="0" fontId="1" fillId="4" borderId="2" xfId="3" applyBorder="1" applyAlignment="1">
      <alignment horizontal="center" vertical="center"/>
    </xf>
    <xf numFmtId="0" fontId="1" fillId="4" borderId="4" xfId="3" applyBorder="1" applyAlignment="1">
      <alignment horizontal="center" vertical="center"/>
    </xf>
    <xf numFmtId="0" fontId="1" fillId="2" borderId="8" xfId="1" applyBorder="1" applyAlignment="1">
      <alignment horizontal="center" vertical="center"/>
    </xf>
    <xf numFmtId="0" fontId="1" fillId="2" borderId="9" xfId="1" applyBorder="1" applyAlignment="1">
      <alignment horizontal="center" vertical="center"/>
    </xf>
    <xf numFmtId="0" fontId="1" fillId="2" borderId="10" xfId="1" applyBorder="1" applyAlignment="1">
      <alignment horizontal="center" vertical="center"/>
    </xf>
    <xf numFmtId="0" fontId="1" fillId="2" borderId="11" xfId="1" applyBorder="1" applyAlignment="1">
      <alignment horizontal="center" vertical="center"/>
    </xf>
    <xf numFmtId="0" fontId="1" fillId="2" borderId="12" xfId="1" applyBorder="1" applyAlignment="1">
      <alignment horizontal="center" vertical="center"/>
    </xf>
    <xf numFmtId="0" fontId="1" fillId="2" borderId="13" xfId="1" applyBorder="1" applyAlignment="1">
      <alignment horizontal="center" vertical="center"/>
    </xf>
  </cellXfs>
  <cellStyles count="4">
    <cellStyle name="Accent1" xfId="1" builtinId="29"/>
    <cellStyle name="Accent2" xfId="2" builtinId="33"/>
    <cellStyle name="Accent5" xfId="3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6"/>
  <sheetViews>
    <sheetView topLeftCell="Q1" zoomScale="75" zoomScaleNormal="75" workbookViewId="0">
      <selection activeCell="AH4" sqref="AH4"/>
    </sheetView>
  </sheetViews>
  <sheetFormatPr defaultRowHeight="15" x14ac:dyDescent="0.25"/>
  <cols>
    <col min="10" max="10" width="18.42578125" bestFit="1" customWidth="1"/>
    <col min="11" max="12" width="10.28515625" customWidth="1"/>
    <col min="17" max="17" width="16.42578125" customWidth="1"/>
    <col min="18" max="18" width="16.28515625" bestFit="1" customWidth="1"/>
    <col min="19" max="19" width="15.85546875" customWidth="1"/>
    <col min="20" max="20" width="12.5703125" bestFit="1" customWidth="1"/>
    <col min="21" max="21" width="12.5703125" customWidth="1"/>
    <col min="22" max="23" width="9.85546875" customWidth="1"/>
    <col min="26" max="27" width="10.85546875" customWidth="1"/>
    <col min="28" max="28" width="10.5703125" bestFit="1" customWidth="1"/>
  </cols>
  <sheetData>
    <row r="1" spans="1:39" x14ac:dyDescent="0.25">
      <c r="A1" s="22" t="s">
        <v>2</v>
      </c>
      <c r="B1" s="22" t="s">
        <v>0</v>
      </c>
      <c r="C1" s="20" t="s">
        <v>4</v>
      </c>
      <c r="D1" s="22" t="s">
        <v>6</v>
      </c>
      <c r="E1" s="20" t="s">
        <v>7</v>
      </c>
      <c r="F1" s="20" t="s">
        <v>9</v>
      </c>
      <c r="G1" s="20" t="s">
        <v>7</v>
      </c>
      <c r="H1" s="20" t="s">
        <v>12</v>
      </c>
      <c r="I1" s="22" t="s">
        <v>13</v>
      </c>
      <c r="J1" s="23" t="s">
        <v>14</v>
      </c>
      <c r="K1" s="26" t="s">
        <v>15</v>
      </c>
      <c r="L1" s="26"/>
      <c r="M1" s="26"/>
      <c r="N1" s="26"/>
      <c r="O1" s="26"/>
      <c r="P1" s="26"/>
      <c r="Q1" s="26"/>
      <c r="R1" s="26"/>
      <c r="S1" s="20" t="s">
        <v>21</v>
      </c>
      <c r="T1" s="20" t="s">
        <v>26</v>
      </c>
      <c r="U1" s="20" t="s">
        <v>12</v>
      </c>
      <c r="V1" s="20" t="s">
        <v>23</v>
      </c>
      <c r="W1" s="20" t="s">
        <v>25</v>
      </c>
      <c r="X1" s="14" t="b">
        <v>1</v>
      </c>
      <c r="Y1" s="22" t="s">
        <v>28</v>
      </c>
      <c r="Z1" s="22" t="s">
        <v>29</v>
      </c>
      <c r="AA1" s="22" t="s">
        <v>30</v>
      </c>
      <c r="AB1" s="22" t="s">
        <v>31</v>
      </c>
      <c r="AC1" s="22" t="s">
        <v>32</v>
      </c>
      <c r="AD1" s="22" t="s">
        <v>37</v>
      </c>
      <c r="AE1" s="22"/>
      <c r="AF1" s="22"/>
      <c r="AG1" s="22"/>
      <c r="AH1" s="22" t="s">
        <v>38</v>
      </c>
      <c r="AI1" s="22"/>
      <c r="AJ1" s="22"/>
      <c r="AK1" s="22"/>
      <c r="AL1" s="22" t="s">
        <v>39</v>
      </c>
      <c r="AM1" s="22" t="s">
        <v>40</v>
      </c>
    </row>
    <row r="2" spans="1:39" x14ac:dyDescent="0.25">
      <c r="A2" s="22"/>
      <c r="B2" s="22"/>
      <c r="C2" s="21"/>
      <c r="D2" s="22"/>
      <c r="E2" s="21"/>
      <c r="F2" s="21"/>
      <c r="G2" s="21"/>
      <c r="H2" s="21"/>
      <c r="I2" s="22"/>
      <c r="J2" s="24"/>
      <c r="K2" s="25" t="s">
        <v>16</v>
      </c>
      <c r="L2" s="25"/>
      <c r="M2" s="25"/>
      <c r="N2" s="25" t="s">
        <v>17</v>
      </c>
      <c r="O2" s="25"/>
      <c r="P2" s="25"/>
      <c r="Q2" s="25" t="s">
        <v>16</v>
      </c>
      <c r="R2" s="25" t="s">
        <v>17</v>
      </c>
      <c r="S2" s="21"/>
      <c r="T2" s="21"/>
      <c r="U2" s="21"/>
      <c r="V2" s="21"/>
      <c r="W2" s="21"/>
      <c r="X2" s="15" t="s">
        <v>23</v>
      </c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</row>
    <row r="3" spans="1:39" x14ac:dyDescent="0.25">
      <c r="A3" s="22"/>
      <c r="B3" s="22"/>
      <c r="C3" s="11" t="s">
        <v>5</v>
      </c>
      <c r="D3" s="22"/>
      <c r="E3" s="11" t="s">
        <v>8</v>
      </c>
      <c r="F3" s="12" t="s">
        <v>11</v>
      </c>
      <c r="G3" s="11" t="s">
        <v>12</v>
      </c>
      <c r="H3" s="11" t="s">
        <v>10</v>
      </c>
      <c r="I3" s="22"/>
      <c r="J3" s="13">
        <v>978091.40800000005</v>
      </c>
      <c r="K3" s="10" t="s">
        <v>18</v>
      </c>
      <c r="L3" s="10" t="s">
        <v>19</v>
      </c>
      <c r="M3" s="10" t="s">
        <v>20</v>
      </c>
      <c r="N3" s="10" t="s">
        <v>18</v>
      </c>
      <c r="O3" s="10" t="s">
        <v>19</v>
      </c>
      <c r="P3" s="10" t="s">
        <v>20</v>
      </c>
      <c r="Q3" s="25"/>
      <c r="R3" s="25"/>
      <c r="S3" s="11" t="s">
        <v>22</v>
      </c>
      <c r="T3" s="11" t="s">
        <v>27</v>
      </c>
      <c r="U3" s="11" t="s">
        <v>23</v>
      </c>
      <c r="V3" s="11" t="s">
        <v>11</v>
      </c>
      <c r="W3" s="11" t="s">
        <v>23</v>
      </c>
      <c r="X3" s="11" t="s">
        <v>24</v>
      </c>
      <c r="Y3" s="22"/>
      <c r="Z3" s="22"/>
      <c r="AA3" s="22"/>
      <c r="AB3" s="22"/>
      <c r="AC3" s="22"/>
      <c r="AD3" s="10" t="s">
        <v>33</v>
      </c>
      <c r="AE3" s="10" t="s">
        <v>34</v>
      </c>
      <c r="AF3" s="10" t="s">
        <v>35</v>
      </c>
      <c r="AG3" s="10" t="s">
        <v>36</v>
      </c>
      <c r="AH3" s="10" t="s">
        <v>33</v>
      </c>
      <c r="AI3" s="10" t="s">
        <v>34</v>
      </c>
      <c r="AJ3" s="10" t="s">
        <v>35</v>
      </c>
      <c r="AK3" s="10" t="s">
        <v>36</v>
      </c>
      <c r="AL3" s="22"/>
      <c r="AM3" s="22"/>
    </row>
    <row r="4" spans="1:39" x14ac:dyDescent="0.25">
      <c r="B4" t="s">
        <v>1</v>
      </c>
      <c r="C4" s="16">
        <f>(8*60)+13</f>
        <v>493</v>
      </c>
      <c r="D4" s="5">
        <v>3482.9090000000001</v>
      </c>
      <c r="E4">
        <v>0</v>
      </c>
      <c r="F4">
        <f>D4+E4</f>
        <v>3482.9090000000001</v>
      </c>
      <c r="G4">
        <f>(($F$36-$F$4)/($C$36-$C$4))*(C4-$C$4)</f>
        <v>0</v>
      </c>
      <c r="H4">
        <f>F4-G4</f>
        <v>3482.9090000000001</v>
      </c>
      <c r="I4" s="5">
        <f>H4-$H$4</f>
        <v>0</v>
      </c>
      <c r="J4" s="7">
        <f>I4+$J$3</f>
        <v>978091.40800000005</v>
      </c>
      <c r="K4" s="5">
        <v>6</v>
      </c>
      <c r="L4" s="5">
        <v>38</v>
      </c>
      <c r="M4" s="5">
        <v>26.72</v>
      </c>
      <c r="N4" s="8">
        <v>106</v>
      </c>
      <c r="O4" s="8">
        <v>33</v>
      </c>
      <c r="P4" s="8">
        <v>47.2</v>
      </c>
      <c r="Q4" s="9">
        <f t="shared" ref="Q4:Q36" si="0">-(K4+(L4/60)+(M4/3600))</f>
        <v>-6.6407555555555549</v>
      </c>
      <c r="R4">
        <f>(N4+(O4/60)+(P4/3600))</f>
        <v>106.56311111111111</v>
      </c>
      <c r="S4">
        <f>RADIANS(Q4)</f>
        <v>-0.11590304926454965</v>
      </c>
      <c r="T4">
        <v>438</v>
      </c>
      <c r="U4">
        <f>(T$36-T$4)*(C4-C$4)/(C$36-C$4)</f>
        <v>0</v>
      </c>
      <c r="V4">
        <f>T4-U4</f>
        <v>438</v>
      </c>
      <c r="W4">
        <f>V4-V$4</f>
        <v>0</v>
      </c>
      <c r="X4">
        <v>396.51900000000001</v>
      </c>
      <c r="Y4">
        <f>(0.0004462*X4/0.3048)-(0.00000003282*(X4^2)/(0.3048^2))+(0.00000000000000127*(X4^3)/(0.3048^3))</f>
        <v>0.52492729067563015</v>
      </c>
      <c r="Z4">
        <f>978031.8*(1+0.0053024*(SIN(S4))^2)+0.0000058*(SIN(2*S4))^2</f>
        <v>978101.15369686356</v>
      </c>
      <c r="AA4">
        <f>0.3085*X4</f>
        <v>122.3261115</v>
      </c>
      <c r="AB4" s="7">
        <f>J4-Z4+AA4</f>
        <v>112.58041463649121</v>
      </c>
      <c r="AC4">
        <f>0.04185*2.67*X4</f>
        <v>44.306834800499999</v>
      </c>
      <c r="AD4">
        <v>3</v>
      </c>
      <c r="AE4">
        <v>5</v>
      </c>
      <c r="AF4">
        <v>3</v>
      </c>
      <c r="AG4">
        <v>-2</v>
      </c>
      <c r="AH4">
        <f>0.04191*(2.67/4)*((20-2)+SQRT((2^2+AD4^2))-SQRT((20^2+AD4^2)))</f>
        <v>3.8655831353907356E-2</v>
      </c>
      <c r="AI4">
        <f>0.04191*(2.67/4)*((20-2)+SQRT((2^2+AE4^2))-SQRT((20^2+AE4^2)))</f>
        <v>7.7480378373566541E-2</v>
      </c>
      <c r="AJ4">
        <f>0.04191*(2.67/4)*((20-2)+SQRT((2^2+AF4^2))-SQRT((20^2+AF4^2)))</f>
        <v>3.8655831353907356E-2</v>
      </c>
      <c r="AK4">
        <f>0.04191*(2.67/4)*((20-2)+SQRT((2^2+AG4^2))-SQRT((20^2+AG4^2)))</f>
        <v>2.0384653162369731E-2</v>
      </c>
      <c r="AL4">
        <f>SUM(AH4:AK4)</f>
        <v>0.17517669424375099</v>
      </c>
      <c r="AM4" s="7">
        <f>AB4-AC4+AL4-Y4</f>
        <v>67.923829239559325</v>
      </c>
    </row>
    <row r="5" spans="1:39" x14ac:dyDescent="0.25">
      <c r="B5">
        <v>60</v>
      </c>
      <c r="C5" s="16">
        <f>(10*60)+7</f>
        <v>607</v>
      </c>
      <c r="D5" s="5">
        <v>3433.502</v>
      </c>
      <c r="E5">
        <v>0</v>
      </c>
      <c r="F5">
        <f t="shared" ref="F5:F36" si="1">D5+E5</f>
        <v>3433.502</v>
      </c>
      <c r="G5">
        <f t="shared" ref="G5:G36" si="2">(($F$36-$F$4)/($C$36-$C$4))*(C5-$C$4)</f>
        <v>-2.3206106870999371E-3</v>
      </c>
      <c r="H5">
        <f t="shared" ref="H5:H36" si="3">F5-G5</f>
        <v>3433.504320610687</v>
      </c>
      <c r="I5" s="5">
        <f t="shared" ref="I5:I36" si="4">H5-$H$4</f>
        <v>-49.40467938931306</v>
      </c>
      <c r="J5" s="7">
        <f t="shared" ref="J5:J36" si="5">I5+$J$3</f>
        <v>978042.00332061073</v>
      </c>
      <c r="K5" s="5">
        <v>6</v>
      </c>
      <c r="L5" s="5">
        <v>39</v>
      </c>
      <c r="M5" s="5">
        <v>11.55</v>
      </c>
      <c r="N5" s="8">
        <v>106</v>
      </c>
      <c r="O5" s="8">
        <v>34</v>
      </c>
      <c r="P5" s="8">
        <v>26.5</v>
      </c>
      <c r="Q5" s="9">
        <f t="shared" si="0"/>
        <v>-6.6532083333333336</v>
      </c>
      <c r="R5">
        <f t="shared" ref="R5:R36" si="6">(N5+(O5/60)+(P5/3600))</f>
        <v>106.57402777777777</v>
      </c>
      <c r="S5">
        <f t="shared" ref="S5:S36" si="7">RADIANS(Q5)</f>
        <v>-0.11612039123779107</v>
      </c>
      <c r="T5">
        <v>656</v>
      </c>
      <c r="U5">
        <f>(T$36-T$4)*(C5-C$4)/(C$36-C$4)</f>
        <v>-3.1908396946564888</v>
      </c>
      <c r="V5">
        <f t="shared" ref="V5:V36" si="8">T5-U5</f>
        <v>659.19083969465646</v>
      </c>
      <c r="W5">
        <f>V5-V$4</f>
        <v>221.19083969465646</v>
      </c>
      <c r="X5">
        <f>X$4+W5</f>
        <v>617.70983969465647</v>
      </c>
      <c r="Y5">
        <f t="shared" ref="Y5:Y36" si="9">(0.0004462*X5/0.3048)-(0.00000003282*(X5^2)/(0.3048^2))+(0.00000000000000127*(X5^3)/(0.3048^3))</f>
        <v>0.76948643981894327</v>
      </c>
      <c r="Z5">
        <f t="shared" ref="Z5:Z36" si="10">978031.8*(1+0.0053024*(SIN(S5))^2)+0.0000058*(SIN(2*S5))^2</f>
        <v>978101.41287431435</v>
      </c>
      <c r="AA5">
        <f t="shared" ref="AA5:AA36" si="11">0.3085*X5</f>
        <v>190.56348554580151</v>
      </c>
      <c r="AB5" s="7">
        <f t="shared" ref="AB5:AB36" si="12">J5-Z5+AA5</f>
        <v>131.15393184218235</v>
      </c>
      <c r="AC5">
        <f t="shared" ref="AC5:AC36" si="13">0.04185*2.67*X5</f>
        <v>69.022588632561067</v>
      </c>
      <c r="AD5">
        <v>-7</v>
      </c>
      <c r="AE5">
        <v>-4</v>
      </c>
      <c r="AF5">
        <v>5</v>
      </c>
      <c r="AG5">
        <v>6</v>
      </c>
      <c r="AH5">
        <f t="shared" ref="AH5:AH36" si="14">0.04191*(2.67/4)*((20-2)+SQRT((2^2+AD5^2))-SQRT((20^2+AD5^2)))</f>
        <v>0.11443114505672018</v>
      </c>
      <c r="AI5">
        <f t="shared" ref="AI5:AI36" si="15">0.04191*(2.67/4)*((20-2)+SQRT((2^2+AE5^2))-SQRT((20^2+AE5^2)))</f>
        <v>5.8077564065738108E-2</v>
      </c>
      <c r="AJ5">
        <f t="shared" ref="AJ5:AJ36" si="16">0.04191*(2.67/4)*((20-2)+SQRT((2^2+AF5^2))-SQRT((20^2+AF5^2)))</f>
        <v>7.7480378373566541E-2</v>
      </c>
      <c r="AK5">
        <f t="shared" ref="AK5:AK36" si="17">0.04191*(2.67/4)*((20-2)+SQRT((2^2+AG5^2))-SQRT((20^2+AG5^2)))</f>
        <v>9.6344027617202871E-2</v>
      </c>
      <c r="AL5">
        <f t="shared" ref="AL5:AL36" si="18">SUM(AH5:AK5)</f>
        <v>0.34633311511322773</v>
      </c>
      <c r="AM5" s="7">
        <f>AB5-AC5+AL5-Y5</f>
        <v>61.708189884915562</v>
      </c>
    </row>
    <row r="6" spans="1:39" x14ac:dyDescent="0.25">
      <c r="B6">
        <v>59</v>
      </c>
      <c r="C6" s="16">
        <f>(10*60)+16</f>
        <v>616</v>
      </c>
      <c r="D6" s="5">
        <v>3436.5909999999999</v>
      </c>
      <c r="E6">
        <v>0</v>
      </c>
      <c r="F6">
        <f t="shared" si="1"/>
        <v>3436.5909999999999</v>
      </c>
      <c r="G6">
        <f t="shared" si="2"/>
        <v>-2.5038167939762479E-3</v>
      </c>
      <c r="H6">
        <f t="shared" si="3"/>
        <v>3436.5935038167941</v>
      </c>
      <c r="I6" s="5">
        <f t="shared" si="4"/>
        <v>-46.315496183206051</v>
      </c>
      <c r="J6" s="7">
        <f t="shared" si="5"/>
        <v>978045.09250381682</v>
      </c>
      <c r="K6" s="5">
        <v>6</v>
      </c>
      <c r="L6" s="5">
        <v>39</v>
      </c>
      <c r="M6" s="5">
        <v>9.93</v>
      </c>
      <c r="N6" s="8">
        <v>106</v>
      </c>
      <c r="O6" s="8">
        <v>33</v>
      </c>
      <c r="P6" s="8">
        <v>25.4</v>
      </c>
      <c r="Q6" s="9">
        <f t="shared" si="0"/>
        <v>-6.6527583333333338</v>
      </c>
      <c r="R6">
        <f t="shared" si="6"/>
        <v>106.55705555555555</v>
      </c>
      <c r="S6">
        <f t="shared" si="7"/>
        <v>-0.1161125372561571</v>
      </c>
      <c r="T6">
        <v>644</v>
      </c>
      <c r="U6">
        <f t="shared" ref="U6:U36" si="19">(T$36-T$4)*(C6-C$4)/(C$36-C$4)</f>
        <v>-3.4427480916030535</v>
      </c>
      <c r="V6">
        <f t="shared" si="8"/>
        <v>647.44274809160311</v>
      </c>
      <c r="W6">
        <f>V6-V$4</f>
        <v>209.44274809160311</v>
      </c>
      <c r="X6">
        <f>X$4+W6</f>
        <v>605.96174809160311</v>
      </c>
      <c r="Y6">
        <f t="shared" si="9"/>
        <v>0.75736625344791386</v>
      </c>
      <c r="Z6">
        <f t="shared" si="10"/>
        <v>978101.40350024076</v>
      </c>
      <c r="AA6">
        <f t="shared" si="11"/>
        <v>186.93919928625957</v>
      </c>
      <c r="AB6" s="7">
        <f t="shared" si="12"/>
        <v>130.62820286231846</v>
      </c>
      <c r="AC6">
        <f t="shared" si="13"/>
        <v>67.709862750881683</v>
      </c>
      <c r="AD6">
        <v>-7</v>
      </c>
      <c r="AE6">
        <v>4</v>
      </c>
      <c r="AF6">
        <v>5</v>
      </c>
      <c r="AG6">
        <v>-4</v>
      </c>
      <c r="AH6">
        <f t="shared" si="14"/>
        <v>0.11443114505672018</v>
      </c>
      <c r="AI6">
        <f t="shared" si="15"/>
        <v>5.8077564065738108E-2</v>
      </c>
      <c r="AJ6">
        <f t="shared" si="16"/>
        <v>7.7480378373566541E-2</v>
      </c>
      <c r="AK6">
        <f t="shared" si="17"/>
        <v>5.8077564065738108E-2</v>
      </c>
      <c r="AL6">
        <f t="shared" si="18"/>
        <v>0.30806665156176294</v>
      </c>
      <c r="AM6" s="7">
        <f t="shared" ref="AM6:AM36" si="20">AB6-AC6+AL6-Y6</f>
        <v>62.469040509550624</v>
      </c>
    </row>
    <row r="7" spans="1:39" x14ac:dyDescent="0.25">
      <c r="B7">
        <v>58</v>
      </c>
      <c r="C7" s="16">
        <f>(10*60)+28</f>
        <v>628</v>
      </c>
      <c r="D7" s="5">
        <v>3435.3879999999999</v>
      </c>
      <c r="E7">
        <v>0</v>
      </c>
      <c r="F7">
        <f t="shared" si="1"/>
        <v>3435.3879999999999</v>
      </c>
      <c r="G7">
        <f t="shared" si="2"/>
        <v>-2.7480916031446625E-3</v>
      </c>
      <c r="H7">
        <f t="shared" si="3"/>
        <v>3435.3907480916032</v>
      </c>
      <c r="I7" s="5">
        <f t="shared" si="4"/>
        <v>-47.518251908396905</v>
      </c>
      <c r="J7" s="7">
        <f t="shared" si="5"/>
        <v>978043.88974809169</v>
      </c>
      <c r="K7" s="5">
        <v>6</v>
      </c>
      <c r="L7" s="5">
        <v>39</v>
      </c>
      <c r="M7" s="5">
        <v>8.34</v>
      </c>
      <c r="N7" s="8">
        <v>106</v>
      </c>
      <c r="O7" s="8">
        <v>34</v>
      </c>
      <c r="P7" s="8">
        <v>24.72</v>
      </c>
      <c r="Q7" s="9">
        <f t="shared" si="0"/>
        <v>-6.6523166666666667</v>
      </c>
      <c r="R7">
        <f t="shared" si="6"/>
        <v>106.57353333333333</v>
      </c>
      <c r="S7">
        <f t="shared" si="7"/>
        <v>-0.11610482871862746</v>
      </c>
      <c r="T7">
        <v>649</v>
      </c>
      <c r="U7">
        <f t="shared" si="19"/>
        <v>-3.7786259541984735</v>
      </c>
      <c r="V7">
        <f t="shared" si="8"/>
        <v>652.77862595419845</v>
      </c>
      <c r="W7">
        <f t="shared" ref="W7:W36" si="21">V7-V$4</f>
        <v>214.77862595419845</v>
      </c>
      <c r="X7">
        <f t="shared" ref="X7:X35" si="22">X$4+W7</f>
        <v>611.29762595419845</v>
      </c>
      <c r="Y7">
        <f t="shared" si="9"/>
        <v>0.76288321771312329</v>
      </c>
      <c r="Z7">
        <f t="shared" si="10"/>
        <v>978101.3943003664</v>
      </c>
      <c r="AA7">
        <f t="shared" si="11"/>
        <v>188.58531760687023</v>
      </c>
      <c r="AB7" s="7">
        <f t="shared" si="12"/>
        <v>131.08076533216067</v>
      </c>
      <c r="AC7">
        <f t="shared" si="13"/>
        <v>68.306091075309155</v>
      </c>
      <c r="AD7">
        <v>5</v>
      </c>
      <c r="AE7">
        <v>-4</v>
      </c>
      <c r="AF7">
        <v>-7</v>
      </c>
      <c r="AG7">
        <v>-6</v>
      </c>
      <c r="AH7">
        <f t="shared" si="14"/>
        <v>7.7480378373566541E-2</v>
      </c>
      <c r="AI7">
        <f t="shared" si="15"/>
        <v>5.8077564065738108E-2</v>
      </c>
      <c r="AJ7">
        <f t="shared" si="16"/>
        <v>0.11443114505672018</v>
      </c>
      <c r="AK7">
        <f t="shared" si="17"/>
        <v>9.6344027617202871E-2</v>
      </c>
      <c r="AL7">
        <f t="shared" si="18"/>
        <v>0.34633311511322773</v>
      </c>
      <c r="AM7" s="7">
        <f t="shared" si="20"/>
        <v>62.358124154251612</v>
      </c>
    </row>
    <row r="8" spans="1:39" x14ac:dyDescent="0.25">
      <c r="B8">
        <v>57</v>
      </c>
      <c r="C8" s="16">
        <f>(10*60)+37</f>
        <v>637</v>
      </c>
      <c r="D8" s="5">
        <v>3434.7220000000002</v>
      </c>
      <c r="E8">
        <v>0</v>
      </c>
      <c r="F8">
        <f t="shared" si="1"/>
        <v>3434.7220000000002</v>
      </c>
      <c r="G8">
        <f t="shared" si="2"/>
        <v>-2.9312977100209732E-3</v>
      </c>
      <c r="H8">
        <f t="shared" si="3"/>
        <v>3434.7249312977101</v>
      </c>
      <c r="I8" s="5">
        <f t="shared" si="4"/>
        <v>-48.184068702290006</v>
      </c>
      <c r="J8" s="7">
        <f t="shared" si="5"/>
        <v>978043.22393129778</v>
      </c>
      <c r="K8" s="5">
        <v>6</v>
      </c>
      <c r="L8" s="5">
        <v>39</v>
      </c>
      <c r="M8" s="5">
        <v>7.13</v>
      </c>
      <c r="N8" s="8">
        <v>106</v>
      </c>
      <c r="O8" s="8">
        <v>34</v>
      </c>
      <c r="P8" s="8">
        <v>23.86</v>
      </c>
      <c r="Q8" s="9">
        <f t="shared" si="0"/>
        <v>-6.6519805555555562</v>
      </c>
      <c r="R8">
        <f t="shared" si="6"/>
        <v>106.57329444444444</v>
      </c>
      <c r="S8">
        <f t="shared" si="7"/>
        <v>-0.11609896247308604</v>
      </c>
      <c r="T8">
        <v>651</v>
      </c>
      <c r="U8">
        <f t="shared" si="19"/>
        <v>-4.0305343511450378</v>
      </c>
      <c r="V8">
        <f t="shared" si="8"/>
        <v>655.03053435114509</v>
      </c>
      <c r="W8">
        <f t="shared" si="21"/>
        <v>217.03053435114509</v>
      </c>
      <c r="X8">
        <f t="shared" si="22"/>
        <v>613.5495343511451</v>
      </c>
      <c r="Y8">
        <f t="shared" si="9"/>
        <v>0.76520551532377645</v>
      </c>
      <c r="Z8">
        <f t="shared" si="10"/>
        <v>978101.38729960599</v>
      </c>
      <c r="AA8">
        <f t="shared" si="11"/>
        <v>189.28003134732825</v>
      </c>
      <c r="AB8" s="7">
        <f t="shared" si="12"/>
        <v>131.11666303911005</v>
      </c>
      <c r="AC8">
        <f t="shared" si="13"/>
        <v>68.557718193629768</v>
      </c>
      <c r="AD8">
        <v>7</v>
      </c>
      <c r="AE8">
        <v>5</v>
      </c>
      <c r="AF8">
        <v>-8</v>
      </c>
      <c r="AG8">
        <v>-6</v>
      </c>
      <c r="AH8">
        <f t="shared" si="14"/>
        <v>0.11443114505672018</v>
      </c>
      <c r="AI8">
        <f t="shared" si="15"/>
        <v>7.7480378373566541E-2</v>
      </c>
      <c r="AJ8">
        <f t="shared" si="16"/>
        <v>0.13163746491855549</v>
      </c>
      <c r="AK8">
        <f t="shared" si="17"/>
        <v>9.6344027617202871E-2</v>
      </c>
      <c r="AL8">
        <f t="shared" si="18"/>
        <v>0.41989301596604511</v>
      </c>
      <c r="AM8" s="7">
        <f t="shared" si="20"/>
        <v>62.213632346122552</v>
      </c>
    </row>
    <row r="9" spans="1:39" x14ac:dyDescent="0.25">
      <c r="B9">
        <v>56</v>
      </c>
      <c r="C9" s="16">
        <f>(10*60)+47</f>
        <v>647</v>
      </c>
      <c r="D9" s="5">
        <v>3432.5920000000001</v>
      </c>
      <c r="E9">
        <v>0</v>
      </c>
      <c r="F9">
        <f t="shared" si="1"/>
        <v>3432.5920000000001</v>
      </c>
      <c r="G9">
        <f t="shared" si="2"/>
        <v>-3.1348600509946518E-3</v>
      </c>
      <c r="H9">
        <f t="shared" si="3"/>
        <v>3432.5951348600511</v>
      </c>
      <c r="I9" s="5">
        <f t="shared" si="4"/>
        <v>-50.31386513994903</v>
      </c>
      <c r="J9" s="7">
        <f t="shared" si="5"/>
        <v>978041.09413486009</v>
      </c>
      <c r="K9" s="5">
        <v>6</v>
      </c>
      <c r="L9" s="5">
        <v>39</v>
      </c>
      <c r="M9" s="5">
        <v>6.38</v>
      </c>
      <c r="N9" s="8">
        <v>106</v>
      </c>
      <c r="O9" s="8">
        <v>34</v>
      </c>
      <c r="P9" s="8">
        <v>22.93</v>
      </c>
      <c r="Q9" s="9">
        <f t="shared" si="0"/>
        <v>-6.6517722222222222</v>
      </c>
      <c r="R9">
        <f t="shared" si="6"/>
        <v>106.57303611111111</v>
      </c>
      <c r="S9">
        <f t="shared" si="7"/>
        <v>-0.1160953263704777</v>
      </c>
      <c r="T9">
        <v>658</v>
      </c>
      <c r="U9">
        <f t="shared" si="19"/>
        <v>-4.3104325699745552</v>
      </c>
      <c r="V9">
        <f t="shared" si="8"/>
        <v>662.31043256997452</v>
      </c>
      <c r="W9">
        <f t="shared" si="21"/>
        <v>224.31043256997452</v>
      </c>
      <c r="X9">
        <f t="shared" si="22"/>
        <v>620.82943256997453</v>
      </c>
      <c r="Y9">
        <f t="shared" si="9"/>
        <v>0.77268845759192284</v>
      </c>
      <c r="Z9">
        <f t="shared" si="10"/>
        <v>978101.38296046597</v>
      </c>
      <c r="AA9">
        <f t="shared" si="11"/>
        <v>191.52587994783713</v>
      </c>
      <c r="AB9" s="7">
        <f t="shared" si="12"/>
        <v>131.23705434195759</v>
      </c>
      <c r="AC9">
        <f t="shared" si="13"/>
        <v>69.371170380652657</v>
      </c>
      <c r="AD9">
        <v>-8</v>
      </c>
      <c r="AE9">
        <v>5</v>
      </c>
      <c r="AF9">
        <v>-4</v>
      </c>
      <c r="AG9">
        <v>-7</v>
      </c>
      <c r="AH9">
        <f t="shared" si="14"/>
        <v>0.13163746491855549</v>
      </c>
      <c r="AI9">
        <f t="shared" si="15"/>
        <v>7.7480378373566541E-2</v>
      </c>
      <c r="AJ9">
        <f t="shared" si="16"/>
        <v>5.8077564065738108E-2</v>
      </c>
      <c r="AK9">
        <f t="shared" si="17"/>
        <v>0.11443114505672018</v>
      </c>
      <c r="AL9">
        <f t="shared" si="18"/>
        <v>0.38162655241458032</v>
      </c>
      <c r="AM9" s="7">
        <f t="shared" si="20"/>
        <v>61.474822056127586</v>
      </c>
    </row>
    <row r="10" spans="1:39" x14ac:dyDescent="0.25">
      <c r="B10">
        <v>55</v>
      </c>
      <c r="C10" s="16">
        <f>(10*60)+57</f>
        <v>657</v>
      </c>
      <c r="D10" s="5">
        <v>3437.9670000000001</v>
      </c>
      <c r="E10">
        <v>0</v>
      </c>
      <c r="F10">
        <f t="shared" si="1"/>
        <v>3437.9670000000001</v>
      </c>
      <c r="G10">
        <f t="shared" si="2"/>
        <v>-3.3384223919683308E-3</v>
      </c>
      <c r="H10">
        <f t="shared" si="3"/>
        <v>3437.9703384223922</v>
      </c>
      <c r="I10" s="5">
        <f t="shared" si="4"/>
        <v>-44.938661577607945</v>
      </c>
      <c r="J10" s="7">
        <f t="shared" si="5"/>
        <v>978046.46933842241</v>
      </c>
      <c r="K10" s="5">
        <v>6</v>
      </c>
      <c r="L10" s="5">
        <v>39</v>
      </c>
      <c r="M10" s="5">
        <v>5.0999999999999996</v>
      </c>
      <c r="N10" s="8">
        <v>106</v>
      </c>
      <c r="O10" s="8">
        <v>34</v>
      </c>
      <c r="P10" s="8">
        <v>22.46</v>
      </c>
      <c r="Q10" s="9">
        <f t="shared" si="0"/>
        <v>-6.651416666666667</v>
      </c>
      <c r="R10">
        <f t="shared" si="6"/>
        <v>106.57290555555555</v>
      </c>
      <c r="S10">
        <f t="shared" si="7"/>
        <v>-0.1160891207553595</v>
      </c>
      <c r="T10">
        <v>634</v>
      </c>
      <c r="U10">
        <f t="shared" si="19"/>
        <v>-4.5903307888040716</v>
      </c>
      <c r="V10">
        <f t="shared" si="8"/>
        <v>638.59033078880407</v>
      </c>
      <c r="W10">
        <f t="shared" si="21"/>
        <v>200.59033078880407</v>
      </c>
      <c r="X10">
        <f t="shared" si="22"/>
        <v>597.10933078880407</v>
      </c>
      <c r="Y10">
        <f t="shared" si="9"/>
        <v>0.74816904621834934</v>
      </c>
      <c r="Z10">
        <f t="shared" si="10"/>
        <v>978101.375555309</v>
      </c>
      <c r="AA10">
        <f t="shared" si="11"/>
        <v>184.20822854834606</v>
      </c>
      <c r="AB10" s="7">
        <f t="shared" si="12"/>
        <v>129.30201166175303</v>
      </c>
      <c r="AC10">
        <f t="shared" si="13"/>
        <v>66.720698067675571</v>
      </c>
      <c r="AD10">
        <v>-6</v>
      </c>
      <c r="AE10">
        <v>4</v>
      </c>
      <c r="AF10">
        <v>7</v>
      </c>
      <c r="AG10">
        <v>4</v>
      </c>
      <c r="AH10">
        <f t="shared" si="14"/>
        <v>9.6344027617202871E-2</v>
      </c>
      <c r="AI10">
        <f t="shared" si="15"/>
        <v>5.8077564065738108E-2</v>
      </c>
      <c r="AJ10">
        <f t="shared" si="16"/>
        <v>0.11443114505672018</v>
      </c>
      <c r="AK10">
        <f t="shared" si="17"/>
        <v>5.8077564065738108E-2</v>
      </c>
      <c r="AL10">
        <f t="shared" si="18"/>
        <v>0.32693030080539925</v>
      </c>
      <c r="AM10" s="7">
        <f t="shared" si="20"/>
        <v>62.160074848664507</v>
      </c>
    </row>
    <row r="11" spans="1:39" x14ac:dyDescent="0.25">
      <c r="B11">
        <v>54</v>
      </c>
      <c r="C11" s="16">
        <f>(11*60)+1</f>
        <v>661</v>
      </c>
      <c r="D11" s="5">
        <v>3445.933</v>
      </c>
      <c r="E11">
        <v>0</v>
      </c>
      <c r="F11">
        <f t="shared" si="1"/>
        <v>3445.933</v>
      </c>
      <c r="G11">
        <f t="shared" si="2"/>
        <v>-3.4198473283578021E-3</v>
      </c>
      <c r="H11">
        <f t="shared" si="3"/>
        <v>3445.9364198473281</v>
      </c>
      <c r="I11" s="5">
        <f t="shared" si="4"/>
        <v>-36.972580152671981</v>
      </c>
      <c r="J11" s="7">
        <f t="shared" si="5"/>
        <v>978054.43541984737</v>
      </c>
      <c r="K11" s="5">
        <v>6</v>
      </c>
      <c r="L11" s="5">
        <v>39</v>
      </c>
      <c r="M11" s="5">
        <v>2.29</v>
      </c>
      <c r="N11" s="8">
        <v>106</v>
      </c>
      <c r="O11" s="8">
        <v>34</v>
      </c>
      <c r="P11" s="8">
        <v>22.16</v>
      </c>
      <c r="Q11" s="9">
        <f t="shared" si="0"/>
        <v>-6.6506361111111119</v>
      </c>
      <c r="R11">
        <f t="shared" si="6"/>
        <v>106.57282222222221</v>
      </c>
      <c r="S11">
        <f t="shared" si="7"/>
        <v>-0.11607549749092033</v>
      </c>
      <c r="T11">
        <v>603</v>
      </c>
      <c r="U11">
        <f t="shared" si="19"/>
        <v>-4.7022900763358777</v>
      </c>
      <c r="V11">
        <f t="shared" si="8"/>
        <v>607.70229007633588</v>
      </c>
      <c r="W11">
        <f t="shared" si="21"/>
        <v>169.70229007633588</v>
      </c>
      <c r="X11">
        <f t="shared" si="22"/>
        <v>566.22129007633589</v>
      </c>
      <c r="Y11">
        <f t="shared" si="9"/>
        <v>0.71564441210297414</v>
      </c>
      <c r="Z11">
        <f t="shared" si="10"/>
        <v>978101.35930003808</v>
      </c>
      <c r="AA11">
        <f t="shared" si="11"/>
        <v>174.67926798854961</v>
      </c>
      <c r="AB11" s="7">
        <f t="shared" si="12"/>
        <v>127.75538779784466</v>
      </c>
      <c r="AC11">
        <f t="shared" si="13"/>
        <v>63.269283842484732</v>
      </c>
      <c r="AD11">
        <v>-7</v>
      </c>
      <c r="AE11">
        <v>4</v>
      </c>
      <c r="AF11">
        <v>5</v>
      </c>
      <c r="AG11">
        <v>3</v>
      </c>
      <c r="AH11">
        <f t="shared" si="14"/>
        <v>0.11443114505672018</v>
      </c>
      <c r="AI11">
        <f t="shared" si="15"/>
        <v>5.8077564065738108E-2</v>
      </c>
      <c r="AJ11">
        <f t="shared" si="16"/>
        <v>7.7480378373566541E-2</v>
      </c>
      <c r="AK11">
        <f t="shared" si="17"/>
        <v>3.8655831353907356E-2</v>
      </c>
      <c r="AL11">
        <f t="shared" si="18"/>
        <v>0.28864491884993221</v>
      </c>
      <c r="AM11" s="7">
        <f t="shared" si="20"/>
        <v>64.059104462106887</v>
      </c>
    </row>
    <row r="12" spans="1:39" x14ac:dyDescent="0.25">
      <c r="B12">
        <v>53</v>
      </c>
      <c r="C12" s="16">
        <f>(11*60)+17</f>
        <v>677</v>
      </c>
      <c r="D12" s="5">
        <v>3450.0839999999998</v>
      </c>
      <c r="E12">
        <v>0</v>
      </c>
      <c r="F12">
        <f t="shared" si="1"/>
        <v>3450.0839999999998</v>
      </c>
      <c r="G12">
        <f t="shared" si="2"/>
        <v>-3.7455470739156879E-3</v>
      </c>
      <c r="H12">
        <f t="shared" si="3"/>
        <v>3450.0877455470736</v>
      </c>
      <c r="I12" s="5">
        <f t="shared" si="4"/>
        <v>-32.821254452926496</v>
      </c>
      <c r="J12" s="7">
        <f t="shared" si="5"/>
        <v>978058.58674554713</v>
      </c>
      <c r="K12" s="5">
        <v>6</v>
      </c>
      <c r="L12" s="5">
        <v>39</v>
      </c>
      <c r="M12" s="5">
        <v>0.64</v>
      </c>
      <c r="N12" s="8">
        <v>106</v>
      </c>
      <c r="O12" s="8">
        <v>34</v>
      </c>
      <c r="P12" s="8">
        <v>21.31</v>
      </c>
      <c r="Q12" s="9">
        <f t="shared" si="0"/>
        <v>-6.6501777777777784</v>
      </c>
      <c r="R12">
        <f t="shared" si="6"/>
        <v>106.57258611111111</v>
      </c>
      <c r="S12">
        <f t="shared" si="7"/>
        <v>-0.11606749806518203</v>
      </c>
      <c r="T12">
        <v>586</v>
      </c>
      <c r="U12">
        <f t="shared" si="19"/>
        <v>-5.1501272264631046</v>
      </c>
      <c r="V12">
        <f t="shared" si="8"/>
        <v>591.15012722646316</v>
      </c>
      <c r="W12">
        <f t="shared" si="21"/>
        <v>153.15012722646316</v>
      </c>
      <c r="X12">
        <f t="shared" si="22"/>
        <v>549.66912722646316</v>
      </c>
      <c r="Y12">
        <f t="shared" si="9"/>
        <v>0.6979378960592818</v>
      </c>
      <c r="Z12">
        <f t="shared" si="10"/>
        <v>978101.34975600115</v>
      </c>
      <c r="AA12">
        <f t="shared" si="11"/>
        <v>169.57292574936389</v>
      </c>
      <c r="AB12" s="7">
        <f t="shared" si="12"/>
        <v>126.80991529534901</v>
      </c>
      <c r="AC12">
        <f t="shared" si="13"/>
        <v>61.419753441721376</v>
      </c>
      <c r="AD12">
        <v>-6</v>
      </c>
      <c r="AE12">
        <v>-5</v>
      </c>
      <c r="AF12">
        <v>2</v>
      </c>
      <c r="AG12">
        <v>5</v>
      </c>
      <c r="AH12">
        <f t="shared" si="14"/>
        <v>9.6344027617202871E-2</v>
      </c>
      <c r="AI12">
        <f t="shared" si="15"/>
        <v>7.7480378373566541E-2</v>
      </c>
      <c r="AJ12">
        <f t="shared" si="16"/>
        <v>2.0384653162369731E-2</v>
      </c>
      <c r="AK12">
        <f t="shared" si="17"/>
        <v>7.7480378373566541E-2</v>
      </c>
      <c r="AL12">
        <f t="shared" si="18"/>
        <v>0.27168943752670571</v>
      </c>
      <c r="AM12" s="7">
        <f t="shared" si="20"/>
        <v>64.963913395095048</v>
      </c>
    </row>
    <row r="13" spans="1:39" x14ac:dyDescent="0.25">
      <c r="B13">
        <v>52</v>
      </c>
      <c r="C13" s="16">
        <f>(11*60)+23</f>
        <v>683</v>
      </c>
      <c r="D13" s="5">
        <v>3452.098</v>
      </c>
      <c r="E13">
        <v>0</v>
      </c>
      <c r="F13">
        <f t="shared" si="1"/>
        <v>3452.098</v>
      </c>
      <c r="G13">
        <f t="shared" si="2"/>
        <v>-3.8676844784998952E-3</v>
      </c>
      <c r="H13">
        <f t="shared" si="3"/>
        <v>3452.1018676844783</v>
      </c>
      <c r="I13" s="5">
        <f t="shared" si="4"/>
        <v>-30.807132315521812</v>
      </c>
      <c r="J13" s="7">
        <f t="shared" si="5"/>
        <v>978060.60086768458</v>
      </c>
      <c r="K13" s="5">
        <v>6</v>
      </c>
      <c r="L13" s="5">
        <v>38</v>
      </c>
      <c r="M13" s="5">
        <v>59.53</v>
      </c>
      <c r="N13" s="8">
        <v>106</v>
      </c>
      <c r="O13" s="8">
        <v>34</v>
      </c>
      <c r="P13" s="8">
        <v>20.34</v>
      </c>
      <c r="Q13" s="9">
        <f t="shared" si="0"/>
        <v>-6.6498694444444437</v>
      </c>
      <c r="R13">
        <f t="shared" si="6"/>
        <v>106.57231666666667</v>
      </c>
      <c r="S13">
        <f t="shared" si="7"/>
        <v>-0.11606211663332169</v>
      </c>
      <c r="T13">
        <v>576</v>
      </c>
      <c r="U13">
        <f t="shared" si="19"/>
        <v>-5.3180661577608141</v>
      </c>
      <c r="V13">
        <f t="shared" si="8"/>
        <v>581.31806615776077</v>
      </c>
      <c r="W13">
        <f t="shared" si="21"/>
        <v>143.31806615776077</v>
      </c>
      <c r="X13">
        <f t="shared" si="22"/>
        <v>539.83706615776077</v>
      </c>
      <c r="Y13">
        <f t="shared" si="9"/>
        <v>0.68732852050362203</v>
      </c>
      <c r="Z13">
        <f t="shared" si="10"/>
        <v>978101.34333583061</v>
      </c>
      <c r="AA13">
        <f t="shared" si="11"/>
        <v>166.53973490966919</v>
      </c>
      <c r="AB13" s="7">
        <f t="shared" si="12"/>
        <v>125.79726676364399</v>
      </c>
      <c r="AC13">
        <f t="shared" si="13"/>
        <v>60.321123853935106</v>
      </c>
      <c r="AD13">
        <v>-5</v>
      </c>
      <c r="AE13">
        <v>4</v>
      </c>
      <c r="AF13">
        <v>5</v>
      </c>
      <c r="AG13">
        <v>3</v>
      </c>
      <c r="AH13">
        <f t="shared" si="14"/>
        <v>7.7480378373566541E-2</v>
      </c>
      <c r="AI13">
        <f t="shared" si="15"/>
        <v>5.8077564065738108E-2</v>
      </c>
      <c r="AJ13">
        <f t="shared" si="16"/>
        <v>7.7480378373566541E-2</v>
      </c>
      <c r="AK13">
        <f t="shared" si="17"/>
        <v>3.8655831353907356E-2</v>
      </c>
      <c r="AL13">
        <f t="shared" si="18"/>
        <v>0.25169415216677854</v>
      </c>
      <c r="AM13" s="7">
        <f t="shared" si="20"/>
        <v>65.040508541372034</v>
      </c>
    </row>
    <row r="14" spans="1:39" x14ac:dyDescent="0.25">
      <c r="B14">
        <v>51</v>
      </c>
      <c r="C14" s="16">
        <f>(11*60)+36</f>
        <v>696</v>
      </c>
      <c r="D14" s="5">
        <v>3454.3130000000001</v>
      </c>
      <c r="E14">
        <v>0</v>
      </c>
      <c r="F14">
        <f t="shared" si="1"/>
        <v>3454.3130000000001</v>
      </c>
      <c r="G14">
        <f t="shared" si="2"/>
        <v>-4.1323155217656777E-3</v>
      </c>
      <c r="H14">
        <f t="shared" si="3"/>
        <v>3454.317132315522</v>
      </c>
      <c r="I14" s="5">
        <f t="shared" si="4"/>
        <v>-28.591867684478075</v>
      </c>
      <c r="J14" s="7">
        <f t="shared" si="5"/>
        <v>978062.81613231555</v>
      </c>
      <c r="K14" s="5">
        <v>6</v>
      </c>
      <c r="L14" s="5">
        <v>38</v>
      </c>
      <c r="M14" s="5">
        <v>57.5</v>
      </c>
      <c r="N14" s="8">
        <v>106</v>
      </c>
      <c r="O14" s="8">
        <v>34</v>
      </c>
      <c r="P14" s="8">
        <v>19.3</v>
      </c>
      <c r="Q14" s="9">
        <f t="shared" si="0"/>
        <v>-6.6493055555555554</v>
      </c>
      <c r="R14">
        <f t="shared" si="6"/>
        <v>106.57202777777778</v>
      </c>
      <c r="S14">
        <f t="shared" si="7"/>
        <v>-0.11605227491559518</v>
      </c>
      <c r="T14">
        <v>563</v>
      </c>
      <c r="U14">
        <f t="shared" si="19"/>
        <v>-5.6819338422391859</v>
      </c>
      <c r="V14">
        <f t="shared" si="8"/>
        <v>568.68193384223923</v>
      </c>
      <c r="W14">
        <f t="shared" si="21"/>
        <v>130.68193384223923</v>
      </c>
      <c r="X14">
        <f t="shared" si="22"/>
        <v>527.20093384223924</v>
      </c>
      <c r="Y14">
        <f t="shared" si="9"/>
        <v>0.67359310907150138</v>
      </c>
      <c r="Z14">
        <f t="shared" si="10"/>
        <v>978101.33159519359</v>
      </c>
      <c r="AA14">
        <f t="shared" si="11"/>
        <v>162.6414880903308</v>
      </c>
      <c r="AB14" s="7">
        <f t="shared" si="12"/>
        <v>124.12602521228703</v>
      </c>
      <c r="AC14">
        <f t="shared" si="13"/>
        <v>58.909168747064889</v>
      </c>
      <c r="AD14">
        <v>5</v>
      </c>
      <c r="AE14">
        <v>4</v>
      </c>
      <c r="AF14">
        <v>-4</v>
      </c>
      <c r="AG14">
        <v>-5</v>
      </c>
      <c r="AH14">
        <f t="shared" si="14"/>
        <v>7.7480378373566541E-2</v>
      </c>
      <c r="AI14">
        <f t="shared" si="15"/>
        <v>5.8077564065738108E-2</v>
      </c>
      <c r="AJ14">
        <f t="shared" si="16"/>
        <v>5.8077564065738108E-2</v>
      </c>
      <c r="AK14">
        <f t="shared" si="17"/>
        <v>7.7480378373566541E-2</v>
      </c>
      <c r="AL14">
        <f t="shared" si="18"/>
        <v>0.27111588487860927</v>
      </c>
      <c r="AM14" s="7">
        <f t="shared" si="20"/>
        <v>64.814379241029258</v>
      </c>
    </row>
    <row r="15" spans="1:39" x14ac:dyDescent="0.25">
      <c r="B15">
        <v>50</v>
      </c>
      <c r="C15" s="16">
        <f>(12*60)+37</f>
        <v>757</v>
      </c>
      <c r="D15" s="5">
        <v>3451.9690000000001</v>
      </c>
      <c r="E15">
        <v>0</v>
      </c>
      <c r="F15">
        <f t="shared" si="1"/>
        <v>3451.9690000000001</v>
      </c>
      <c r="G15">
        <f t="shared" si="2"/>
        <v>-5.3740458017051181E-3</v>
      </c>
      <c r="H15">
        <f t="shared" si="3"/>
        <v>3451.9743740458016</v>
      </c>
      <c r="I15" s="5">
        <f t="shared" si="4"/>
        <v>-30.934625954198509</v>
      </c>
      <c r="J15" s="7">
        <f t="shared" si="5"/>
        <v>978060.4733740458</v>
      </c>
      <c r="K15" s="5">
        <v>6</v>
      </c>
      <c r="L15" s="5">
        <v>38</v>
      </c>
      <c r="M15" s="5">
        <v>55.97</v>
      </c>
      <c r="N15" s="8">
        <v>106</v>
      </c>
      <c r="O15" s="8">
        <v>34</v>
      </c>
      <c r="P15" s="8">
        <v>18.43</v>
      </c>
      <c r="Q15" s="9">
        <f t="shared" si="0"/>
        <v>-6.6488805555555555</v>
      </c>
      <c r="R15">
        <f t="shared" si="6"/>
        <v>106.57178611111111</v>
      </c>
      <c r="S15">
        <f t="shared" si="7"/>
        <v>-0.1160448572662742</v>
      </c>
      <c r="T15">
        <v>570</v>
      </c>
      <c r="U15">
        <f t="shared" si="19"/>
        <v>-7.3893129770992365</v>
      </c>
      <c r="V15">
        <f t="shared" si="8"/>
        <v>577.38931297709928</v>
      </c>
      <c r="W15">
        <f t="shared" si="21"/>
        <v>139.38931297709928</v>
      </c>
      <c r="X15">
        <f t="shared" si="22"/>
        <v>535.90831297709929</v>
      </c>
      <c r="Y15">
        <f t="shared" si="9"/>
        <v>0.68307006847496154</v>
      </c>
      <c r="Z15">
        <f t="shared" si="10"/>
        <v>978101.32274698524</v>
      </c>
      <c r="AA15">
        <f t="shared" si="11"/>
        <v>165.32771455343513</v>
      </c>
      <c r="AB15" s="7">
        <f t="shared" si="12"/>
        <v>124.47834161399564</v>
      </c>
      <c r="AC15">
        <f t="shared" si="13"/>
        <v>59.88212693790458</v>
      </c>
      <c r="AD15">
        <v>6</v>
      </c>
      <c r="AE15">
        <v>5</v>
      </c>
      <c r="AF15">
        <v>-6</v>
      </c>
      <c r="AG15">
        <v>-7</v>
      </c>
      <c r="AH15">
        <f t="shared" si="14"/>
        <v>9.6344027617202871E-2</v>
      </c>
      <c r="AI15">
        <f t="shared" si="15"/>
        <v>7.7480378373566541E-2</v>
      </c>
      <c r="AJ15">
        <f t="shared" si="16"/>
        <v>9.6344027617202871E-2</v>
      </c>
      <c r="AK15">
        <f t="shared" si="17"/>
        <v>0.11443114505672018</v>
      </c>
      <c r="AL15">
        <f t="shared" si="18"/>
        <v>0.38459957866469247</v>
      </c>
      <c r="AM15" s="7">
        <f t="shared" si="20"/>
        <v>64.297744186280781</v>
      </c>
    </row>
    <row r="16" spans="1:39" x14ac:dyDescent="0.25">
      <c r="B16">
        <v>49</v>
      </c>
      <c r="C16" s="16">
        <f>(12*60)+42</f>
        <v>762</v>
      </c>
      <c r="D16" s="5">
        <v>3452.0309999999999</v>
      </c>
      <c r="E16">
        <v>0</v>
      </c>
      <c r="F16">
        <f t="shared" si="1"/>
        <v>3452.0309999999999</v>
      </c>
      <c r="G16">
        <f t="shared" si="2"/>
        <v>-5.4758269721919568E-3</v>
      </c>
      <c r="H16">
        <f t="shared" si="3"/>
        <v>3452.036475826972</v>
      </c>
      <c r="I16" s="5">
        <f t="shared" si="4"/>
        <v>-30.872524173028069</v>
      </c>
      <c r="J16" s="7">
        <f t="shared" si="5"/>
        <v>978060.53547582706</v>
      </c>
      <c r="K16" s="5">
        <v>6</v>
      </c>
      <c r="L16" s="5">
        <v>38</v>
      </c>
      <c r="M16" s="5">
        <v>54.18</v>
      </c>
      <c r="N16" s="8">
        <v>106</v>
      </c>
      <c r="O16" s="8">
        <v>34</v>
      </c>
      <c r="P16" s="8">
        <v>17.27</v>
      </c>
      <c r="Q16" s="9">
        <f t="shared" si="0"/>
        <v>-6.6483833333333324</v>
      </c>
      <c r="R16">
        <f t="shared" si="6"/>
        <v>106.57146388888889</v>
      </c>
      <c r="S16">
        <f t="shared" si="7"/>
        <v>-0.11603617910138232</v>
      </c>
      <c r="T16">
        <v>569</v>
      </c>
      <c r="U16">
        <f t="shared" si="19"/>
        <v>-7.5292620865139952</v>
      </c>
      <c r="V16">
        <f t="shared" si="8"/>
        <v>576.529262086514</v>
      </c>
      <c r="W16">
        <f t="shared" si="21"/>
        <v>138.529262086514</v>
      </c>
      <c r="X16">
        <f t="shared" si="22"/>
        <v>535.048262086514</v>
      </c>
      <c r="Y16">
        <f t="shared" si="9"/>
        <v>0.68213638788550268</v>
      </c>
      <c r="Z16">
        <f t="shared" si="10"/>
        <v>978101.31239586475</v>
      </c>
      <c r="AA16">
        <f t="shared" si="11"/>
        <v>165.06238885368955</v>
      </c>
      <c r="AB16" s="7">
        <f t="shared" si="12"/>
        <v>124.28546881599621</v>
      </c>
      <c r="AC16">
        <f t="shared" si="13"/>
        <v>59.786025281416023</v>
      </c>
      <c r="AD16">
        <v>3</v>
      </c>
      <c r="AE16">
        <v>4</v>
      </c>
      <c r="AF16">
        <v>-2</v>
      </c>
      <c r="AG16">
        <v>-4</v>
      </c>
      <c r="AH16">
        <f t="shared" si="14"/>
        <v>3.8655831353907356E-2</v>
      </c>
      <c r="AI16">
        <f t="shared" si="15"/>
        <v>5.8077564065738108E-2</v>
      </c>
      <c r="AJ16">
        <f t="shared" si="16"/>
        <v>2.0384653162369731E-2</v>
      </c>
      <c r="AK16">
        <f t="shared" si="17"/>
        <v>5.8077564065738108E-2</v>
      </c>
      <c r="AL16">
        <f t="shared" si="18"/>
        <v>0.1751956126477533</v>
      </c>
      <c r="AM16" s="7">
        <f t="shared" si="20"/>
        <v>63.99250275934245</v>
      </c>
    </row>
    <row r="17" spans="2:39" x14ac:dyDescent="0.25">
      <c r="B17">
        <v>48</v>
      </c>
      <c r="C17" s="16">
        <f>(12*60)+47</f>
        <v>767</v>
      </c>
      <c r="D17" s="5">
        <v>3454.3090000000002</v>
      </c>
      <c r="E17">
        <v>0</v>
      </c>
      <c r="F17">
        <f t="shared" si="1"/>
        <v>3454.3090000000002</v>
      </c>
      <c r="G17">
        <f t="shared" si="2"/>
        <v>-5.5776081426787963E-3</v>
      </c>
      <c r="H17">
        <f t="shared" si="3"/>
        <v>3454.3145776081428</v>
      </c>
      <c r="I17" s="5">
        <f t="shared" si="4"/>
        <v>-28.594422391857279</v>
      </c>
      <c r="J17" s="7">
        <f t="shared" si="5"/>
        <v>978062.81357760821</v>
      </c>
      <c r="K17" s="5">
        <v>6</v>
      </c>
      <c r="L17" s="5">
        <v>38</v>
      </c>
      <c r="M17" s="5">
        <v>52.98</v>
      </c>
      <c r="N17" s="8">
        <v>106</v>
      </c>
      <c r="O17" s="8">
        <v>34</v>
      </c>
      <c r="P17" s="8">
        <v>16.64</v>
      </c>
      <c r="Q17" s="9">
        <f t="shared" si="0"/>
        <v>-6.6480499999999996</v>
      </c>
      <c r="R17">
        <f t="shared" si="6"/>
        <v>106.57128888888889</v>
      </c>
      <c r="S17">
        <f t="shared" si="7"/>
        <v>-0.11603036133720902</v>
      </c>
      <c r="T17">
        <v>559</v>
      </c>
      <c r="U17">
        <f t="shared" si="19"/>
        <v>-7.669211195928753</v>
      </c>
      <c r="V17">
        <f t="shared" si="8"/>
        <v>566.66921119592871</v>
      </c>
      <c r="W17">
        <f t="shared" si="21"/>
        <v>128.66921119592871</v>
      </c>
      <c r="X17">
        <f t="shared" si="22"/>
        <v>525.18821119592872</v>
      </c>
      <c r="Y17">
        <f t="shared" si="9"/>
        <v>0.67139487603036163</v>
      </c>
      <c r="Z17">
        <f t="shared" si="10"/>
        <v>978101.30545699201</v>
      </c>
      <c r="AA17">
        <f t="shared" si="11"/>
        <v>162.02056315394401</v>
      </c>
      <c r="AB17" s="7">
        <f t="shared" si="12"/>
        <v>123.52868377014346</v>
      </c>
      <c r="AC17">
        <f t="shared" si="13"/>
        <v>58.68426812492747</v>
      </c>
      <c r="AD17">
        <v>-3</v>
      </c>
      <c r="AE17">
        <v>4</v>
      </c>
      <c r="AF17">
        <v>5</v>
      </c>
      <c r="AG17">
        <v>-2</v>
      </c>
      <c r="AH17">
        <f t="shared" si="14"/>
        <v>3.8655831353907356E-2</v>
      </c>
      <c r="AI17">
        <f t="shared" si="15"/>
        <v>5.8077564065738108E-2</v>
      </c>
      <c r="AJ17">
        <f t="shared" si="16"/>
        <v>7.7480378373566541E-2</v>
      </c>
      <c r="AK17">
        <f t="shared" si="17"/>
        <v>2.0384653162369731E-2</v>
      </c>
      <c r="AL17">
        <f t="shared" si="18"/>
        <v>0.19459842695558174</v>
      </c>
      <c r="AM17" s="7">
        <f t="shared" si="20"/>
        <v>64.367619196141206</v>
      </c>
    </row>
    <row r="18" spans="2:39" x14ac:dyDescent="0.25">
      <c r="B18">
        <v>47</v>
      </c>
      <c r="C18" s="16">
        <f>(12*60)+51</f>
        <v>771</v>
      </c>
      <c r="D18" s="5">
        <v>3456.2809999999999</v>
      </c>
      <c r="E18">
        <v>0</v>
      </c>
      <c r="F18">
        <f t="shared" si="1"/>
        <v>3456.2809999999999</v>
      </c>
      <c r="G18">
        <f t="shared" si="2"/>
        <v>-5.6590330790682675E-3</v>
      </c>
      <c r="H18">
        <f t="shared" si="3"/>
        <v>3456.2866590330791</v>
      </c>
      <c r="I18" s="5">
        <f t="shared" si="4"/>
        <v>-26.622340966921001</v>
      </c>
      <c r="J18" s="7">
        <f t="shared" si="5"/>
        <v>978064.78565903311</v>
      </c>
      <c r="K18" s="5">
        <v>6</v>
      </c>
      <c r="L18" s="5">
        <v>38</v>
      </c>
      <c r="M18" s="5">
        <v>51.04</v>
      </c>
      <c r="N18" s="8">
        <v>106</v>
      </c>
      <c r="O18" s="8">
        <v>34</v>
      </c>
      <c r="P18" s="8">
        <v>16.09</v>
      </c>
      <c r="Q18" s="9">
        <f t="shared" si="0"/>
        <v>-6.6475111111111103</v>
      </c>
      <c r="R18">
        <f t="shared" si="6"/>
        <v>106.5711361111111</v>
      </c>
      <c r="S18">
        <f t="shared" si="7"/>
        <v>-0.11602095595179548</v>
      </c>
      <c r="T18">
        <v>554</v>
      </c>
      <c r="U18">
        <f t="shared" si="19"/>
        <v>-7.78117048346056</v>
      </c>
      <c r="V18">
        <f t="shared" si="8"/>
        <v>561.78117048346053</v>
      </c>
      <c r="W18">
        <f t="shared" si="21"/>
        <v>123.78117048346053</v>
      </c>
      <c r="X18">
        <f t="shared" si="22"/>
        <v>520.30017048346053</v>
      </c>
      <c r="Y18">
        <f t="shared" si="9"/>
        <v>0.66604439617523159</v>
      </c>
      <c r="Z18">
        <f t="shared" si="10"/>
        <v>978101.29423986992</v>
      </c>
      <c r="AA18">
        <f t="shared" si="11"/>
        <v>160.51260259414758</v>
      </c>
      <c r="AB18" s="7">
        <f t="shared" si="12"/>
        <v>124.00402175733089</v>
      </c>
      <c r="AC18">
        <f t="shared" si="13"/>
        <v>58.138080899736636</v>
      </c>
      <c r="AD18">
        <v>-5</v>
      </c>
      <c r="AE18">
        <v>-4</v>
      </c>
      <c r="AF18">
        <v>-3</v>
      </c>
      <c r="AG18">
        <v>-4</v>
      </c>
      <c r="AH18">
        <f t="shared" si="14"/>
        <v>7.7480378373566541E-2</v>
      </c>
      <c r="AI18">
        <f t="shared" si="15"/>
        <v>5.8077564065738108E-2</v>
      </c>
      <c r="AJ18">
        <f t="shared" si="16"/>
        <v>3.8655831353907356E-2</v>
      </c>
      <c r="AK18">
        <f t="shared" si="17"/>
        <v>5.8077564065738108E-2</v>
      </c>
      <c r="AL18">
        <f t="shared" si="18"/>
        <v>0.23229133785895009</v>
      </c>
      <c r="AM18" s="7">
        <f t="shared" si="20"/>
        <v>65.432187799277969</v>
      </c>
    </row>
    <row r="19" spans="2:39" x14ac:dyDescent="0.25">
      <c r="B19">
        <v>46</v>
      </c>
      <c r="C19" s="16">
        <f>(12*60)+56</f>
        <v>776</v>
      </c>
      <c r="D19" s="5">
        <v>3454.7869999999998</v>
      </c>
      <c r="E19">
        <v>0</v>
      </c>
      <c r="F19">
        <f t="shared" si="1"/>
        <v>3454.7869999999998</v>
      </c>
      <c r="G19">
        <f t="shared" si="2"/>
        <v>-5.760814249555107E-3</v>
      </c>
      <c r="H19">
        <f t="shared" si="3"/>
        <v>3454.7927608142495</v>
      </c>
      <c r="I19" s="5">
        <f t="shared" si="4"/>
        <v>-28.116239185750601</v>
      </c>
      <c r="J19" s="7">
        <f t="shared" si="5"/>
        <v>978063.29176081426</v>
      </c>
      <c r="K19" s="5">
        <v>6</v>
      </c>
      <c r="L19" s="5">
        <v>38</v>
      </c>
      <c r="M19" s="5">
        <v>49.55</v>
      </c>
      <c r="N19" s="8">
        <v>106</v>
      </c>
      <c r="O19" s="8">
        <v>34</v>
      </c>
      <c r="P19" s="8">
        <v>15.46</v>
      </c>
      <c r="Q19" s="9">
        <f t="shared" si="0"/>
        <v>-6.6470972222222215</v>
      </c>
      <c r="R19">
        <f t="shared" si="6"/>
        <v>106.5709611111111</v>
      </c>
      <c r="S19">
        <f t="shared" si="7"/>
        <v>-0.11601373222794696</v>
      </c>
      <c r="T19">
        <v>558</v>
      </c>
      <c r="U19">
        <f t="shared" si="19"/>
        <v>-7.9211195928753177</v>
      </c>
      <c r="V19">
        <f t="shared" si="8"/>
        <v>565.92111959287536</v>
      </c>
      <c r="W19">
        <f t="shared" si="21"/>
        <v>127.92111959287536</v>
      </c>
      <c r="X19">
        <f t="shared" si="22"/>
        <v>524.44011959287536</v>
      </c>
      <c r="Y19">
        <f t="shared" si="9"/>
        <v>0.67057710418061622</v>
      </c>
      <c r="Z19">
        <f t="shared" si="10"/>
        <v>978101.28562526382</v>
      </c>
      <c r="AA19">
        <f t="shared" si="11"/>
        <v>161.78977689440205</v>
      </c>
      <c r="AB19" s="7">
        <f t="shared" si="12"/>
        <v>123.79591244484607</v>
      </c>
      <c r="AC19">
        <f t="shared" si="13"/>
        <v>58.600676743248094</v>
      </c>
      <c r="AD19">
        <v>2</v>
      </c>
      <c r="AE19">
        <v>4</v>
      </c>
      <c r="AF19">
        <v>-2</v>
      </c>
      <c r="AG19">
        <v>-3</v>
      </c>
      <c r="AH19">
        <f t="shared" si="14"/>
        <v>2.0384653162369731E-2</v>
      </c>
      <c r="AI19">
        <f t="shared" si="15"/>
        <v>5.8077564065738108E-2</v>
      </c>
      <c r="AJ19">
        <f t="shared" si="16"/>
        <v>2.0384653162369731E-2</v>
      </c>
      <c r="AK19">
        <f t="shared" si="17"/>
        <v>3.8655831353907356E-2</v>
      </c>
      <c r="AL19">
        <f t="shared" si="18"/>
        <v>0.13750270174438492</v>
      </c>
      <c r="AM19" s="7">
        <f t="shared" si="20"/>
        <v>64.662161299161724</v>
      </c>
    </row>
    <row r="20" spans="2:39" x14ac:dyDescent="0.25">
      <c r="B20">
        <v>45</v>
      </c>
      <c r="C20" s="16">
        <f>(13*60)+2</f>
        <v>782</v>
      </c>
      <c r="D20" s="5">
        <v>3457.4360000000001</v>
      </c>
      <c r="E20">
        <v>0</v>
      </c>
      <c r="F20">
        <f t="shared" si="1"/>
        <v>3457.4360000000001</v>
      </c>
      <c r="G20">
        <f t="shared" si="2"/>
        <v>-5.8829516541393147E-3</v>
      </c>
      <c r="H20">
        <f t="shared" si="3"/>
        <v>3457.4418829516544</v>
      </c>
      <c r="I20" s="5">
        <f t="shared" si="4"/>
        <v>-25.467117048345699</v>
      </c>
      <c r="J20" s="7">
        <f t="shared" si="5"/>
        <v>978065.94088295172</v>
      </c>
      <c r="K20" s="5">
        <v>6</v>
      </c>
      <c r="L20" s="5">
        <v>38</v>
      </c>
      <c r="M20" s="5">
        <v>48.03</v>
      </c>
      <c r="N20" s="8">
        <v>106</v>
      </c>
      <c r="O20" s="8">
        <v>34</v>
      </c>
      <c r="P20" s="8">
        <v>14.31</v>
      </c>
      <c r="Q20" s="9">
        <f t="shared" si="0"/>
        <v>-6.6466749999999992</v>
      </c>
      <c r="R20">
        <f t="shared" si="6"/>
        <v>106.57064166666666</v>
      </c>
      <c r="S20">
        <f t="shared" si="7"/>
        <v>-0.11600636305999409</v>
      </c>
      <c r="T20">
        <v>545</v>
      </c>
      <c r="U20">
        <f t="shared" si="19"/>
        <v>-8.0890585241730282</v>
      </c>
      <c r="V20">
        <f t="shared" si="8"/>
        <v>553.08905852417308</v>
      </c>
      <c r="W20">
        <f t="shared" si="21"/>
        <v>115.08905852417308</v>
      </c>
      <c r="X20">
        <f t="shared" si="22"/>
        <v>511.60805852417309</v>
      </c>
      <c r="Y20">
        <f t="shared" si="9"/>
        <v>0.65648826420130657</v>
      </c>
      <c r="Z20">
        <f t="shared" si="10"/>
        <v>978101.2768377522</v>
      </c>
      <c r="AA20">
        <f t="shared" si="11"/>
        <v>157.83108605470738</v>
      </c>
      <c r="AB20" s="7">
        <f t="shared" si="12"/>
        <v>122.49513125422641</v>
      </c>
      <c r="AC20">
        <f t="shared" si="13"/>
        <v>57.166828655461835</v>
      </c>
      <c r="AD20">
        <v>-3</v>
      </c>
      <c r="AE20">
        <v>2</v>
      </c>
      <c r="AF20">
        <v>-3</v>
      </c>
      <c r="AG20">
        <v>-5</v>
      </c>
      <c r="AH20">
        <f t="shared" si="14"/>
        <v>3.8655831353907356E-2</v>
      </c>
      <c r="AI20">
        <f t="shared" si="15"/>
        <v>2.0384653162369731E-2</v>
      </c>
      <c r="AJ20">
        <f t="shared" si="16"/>
        <v>3.8655831353907356E-2</v>
      </c>
      <c r="AK20">
        <f t="shared" si="17"/>
        <v>7.7480378373566541E-2</v>
      </c>
      <c r="AL20">
        <f t="shared" si="18"/>
        <v>0.17517669424375099</v>
      </c>
      <c r="AM20" s="7">
        <f t="shared" si="20"/>
        <v>64.846991028807011</v>
      </c>
    </row>
    <row r="21" spans="2:39" x14ac:dyDescent="0.25">
      <c r="B21">
        <v>44</v>
      </c>
      <c r="C21" s="16">
        <f>(13*60)+7</f>
        <v>787</v>
      </c>
      <c r="D21" s="5">
        <v>3460.6790000000001</v>
      </c>
      <c r="E21">
        <v>0</v>
      </c>
      <c r="F21">
        <f t="shared" si="1"/>
        <v>3460.6790000000001</v>
      </c>
      <c r="G21">
        <f t="shared" si="2"/>
        <v>-5.9847328246261542E-3</v>
      </c>
      <c r="H21">
        <f t="shared" si="3"/>
        <v>3460.6849847328249</v>
      </c>
      <c r="I21" s="5">
        <f t="shared" si="4"/>
        <v>-22.224015267175218</v>
      </c>
      <c r="J21" s="7">
        <f t="shared" si="5"/>
        <v>978069.18398473284</v>
      </c>
      <c r="K21" s="5">
        <v>6</v>
      </c>
      <c r="L21" s="5">
        <v>38</v>
      </c>
      <c r="M21" s="5">
        <v>46.13</v>
      </c>
      <c r="N21" s="8">
        <v>106</v>
      </c>
      <c r="O21" s="8">
        <v>34</v>
      </c>
      <c r="P21" s="8">
        <v>13.15</v>
      </c>
      <c r="Q21" s="9">
        <f t="shared" si="0"/>
        <v>-6.646147222222222</v>
      </c>
      <c r="R21">
        <f t="shared" si="6"/>
        <v>106.57031944444444</v>
      </c>
      <c r="S21">
        <f t="shared" si="7"/>
        <v>-0.11599715160005301</v>
      </c>
      <c r="T21">
        <v>531</v>
      </c>
      <c r="U21">
        <f t="shared" si="19"/>
        <v>-8.229007633587786</v>
      </c>
      <c r="V21">
        <f t="shared" si="8"/>
        <v>539.2290076335878</v>
      </c>
      <c r="W21">
        <f t="shared" si="21"/>
        <v>101.2290076335878</v>
      </c>
      <c r="X21">
        <f t="shared" si="22"/>
        <v>497.7480076335878</v>
      </c>
      <c r="Y21">
        <f t="shared" si="9"/>
        <v>0.64114008374753328</v>
      </c>
      <c r="Z21">
        <f t="shared" si="10"/>
        <v>978101.26585413341</v>
      </c>
      <c r="AA21">
        <f t="shared" si="11"/>
        <v>153.55526035496183</v>
      </c>
      <c r="AB21" s="7">
        <f t="shared" si="12"/>
        <v>121.4733909543898</v>
      </c>
      <c r="AC21">
        <f t="shared" si="13"/>
        <v>55.61811349897328</v>
      </c>
      <c r="AD21">
        <v>-2</v>
      </c>
      <c r="AE21">
        <v>2</v>
      </c>
      <c r="AF21">
        <v>1</v>
      </c>
      <c r="AG21">
        <v>-3</v>
      </c>
      <c r="AH21">
        <f t="shared" si="14"/>
        <v>2.0384653162369731E-2</v>
      </c>
      <c r="AI21">
        <f t="shared" si="15"/>
        <v>2.0384653162369731E-2</v>
      </c>
      <c r="AJ21">
        <f t="shared" si="16"/>
        <v>5.905047403128365E-3</v>
      </c>
      <c r="AK21">
        <f t="shared" si="17"/>
        <v>3.8655831353907356E-2</v>
      </c>
      <c r="AL21">
        <f t="shared" si="18"/>
        <v>8.5330185081775187E-2</v>
      </c>
      <c r="AM21" s="7">
        <f t="shared" si="20"/>
        <v>65.299467556750756</v>
      </c>
    </row>
    <row r="22" spans="2:39" x14ac:dyDescent="0.25">
      <c r="B22">
        <v>43</v>
      </c>
      <c r="C22" s="16">
        <f>(13*60)+12</f>
        <v>792</v>
      </c>
      <c r="D22" s="5">
        <v>3459.4169999999999</v>
      </c>
      <c r="E22">
        <v>0</v>
      </c>
      <c r="F22">
        <f t="shared" si="1"/>
        <v>3459.4169999999999</v>
      </c>
      <c r="G22">
        <f t="shared" si="2"/>
        <v>-6.0865139951129929E-3</v>
      </c>
      <c r="H22">
        <f t="shared" si="3"/>
        <v>3459.4230865139948</v>
      </c>
      <c r="I22" s="5">
        <f t="shared" si="4"/>
        <v>-23.485913486005302</v>
      </c>
      <c r="J22" s="7">
        <f t="shared" si="5"/>
        <v>978067.92208651407</v>
      </c>
      <c r="K22" s="5">
        <v>6</v>
      </c>
      <c r="L22" s="5">
        <v>38</v>
      </c>
      <c r="M22" s="5">
        <v>44.14</v>
      </c>
      <c r="N22" s="8">
        <v>106</v>
      </c>
      <c r="O22" s="8">
        <v>34</v>
      </c>
      <c r="P22" s="8">
        <v>12.93</v>
      </c>
      <c r="Q22" s="9">
        <f t="shared" si="0"/>
        <v>-6.6455944444444439</v>
      </c>
      <c r="R22">
        <f t="shared" si="6"/>
        <v>106.57025833333333</v>
      </c>
      <c r="S22">
        <f t="shared" si="7"/>
        <v>-0.11598750380779893</v>
      </c>
      <c r="T22">
        <v>533</v>
      </c>
      <c r="U22">
        <f t="shared" si="19"/>
        <v>-8.3689567430025438</v>
      </c>
      <c r="V22">
        <f t="shared" si="8"/>
        <v>541.36895674300251</v>
      </c>
      <c r="W22">
        <f t="shared" si="21"/>
        <v>103.36895674300251</v>
      </c>
      <c r="X22">
        <f t="shared" si="22"/>
        <v>499.88795674300252</v>
      </c>
      <c r="Y22">
        <f t="shared" si="9"/>
        <v>0.64351865397312435</v>
      </c>
      <c r="Z22">
        <f t="shared" si="10"/>
        <v>978101.25435115607</v>
      </c>
      <c r="AA22">
        <f t="shared" si="11"/>
        <v>154.21543465521628</v>
      </c>
      <c r="AB22" s="7">
        <f t="shared" si="12"/>
        <v>120.88317001321795</v>
      </c>
      <c r="AC22">
        <f t="shared" si="13"/>
        <v>55.857230342484726</v>
      </c>
      <c r="AD22">
        <v>2</v>
      </c>
      <c r="AE22">
        <v>3</v>
      </c>
      <c r="AF22">
        <v>-5</v>
      </c>
      <c r="AG22">
        <v>-6</v>
      </c>
      <c r="AH22">
        <f t="shared" si="14"/>
        <v>2.0384653162369731E-2</v>
      </c>
      <c r="AI22">
        <f t="shared" si="15"/>
        <v>3.8655831353907356E-2</v>
      </c>
      <c r="AJ22">
        <f t="shared" si="16"/>
        <v>7.7480378373566541E-2</v>
      </c>
      <c r="AK22">
        <f t="shared" si="17"/>
        <v>9.6344027617202871E-2</v>
      </c>
      <c r="AL22">
        <f t="shared" si="18"/>
        <v>0.23286489050704651</v>
      </c>
      <c r="AM22" s="7">
        <f t="shared" si="20"/>
        <v>64.61528590726715</v>
      </c>
    </row>
    <row r="23" spans="2:39" x14ac:dyDescent="0.25">
      <c r="B23">
        <v>42</v>
      </c>
      <c r="C23" s="16">
        <f>(13*60)+18</f>
        <v>798</v>
      </c>
      <c r="D23" s="5">
        <v>3463.2620000000002</v>
      </c>
      <c r="E23">
        <v>0</v>
      </c>
      <c r="F23">
        <f t="shared" si="1"/>
        <v>3463.2620000000002</v>
      </c>
      <c r="G23">
        <f t="shared" si="2"/>
        <v>-6.2086513996972006E-3</v>
      </c>
      <c r="H23">
        <f t="shared" si="3"/>
        <v>3463.2682086514001</v>
      </c>
      <c r="I23" s="5">
        <f t="shared" si="4"/>
        <v>-19.640791348600033</v>
      </c>
      <c r="J23" s="7">
        <f t="shared" si="5"/>
        <v>978071.76720865141</v>
      </c>
      <c r="K23" s="5">
        <v>6</v>
      </c>
      <c r="L23" s="5">
        <v>38</v>
      </c>
      <c r="M23" s="5">
        <v>43.39</v>
      </c>
      <c r="N23" s="8">
        <v>106</v>
      </c>
      <c r="O23" s="8">
        <v>34</v>
      </c>
      <c r="P23" s="8">
        <v>11.86</v>
      </c>
      <c r="Q23" s="9">
        <f t="shared" si="0"/>
        <v>-6.6453861111111108</v>
      </c>
      <c r="R23">
        <f t="shared" si="6"/>
        <v>106.56996111111111</v>
      </c>
      <c r="S23">
        <f t="shared" si="7"/>
        <v>-0.11598386770519062</v>
      </c>
      <c r="T23">
        <v>519</v>
      </c>
      <c r="U23">
        <f t="shared" si="19"/>
        <v>-8.5368956743002542</v>
      </c>
      <c r="V23">
        <f t="shared" si="8"/>
        <v>527.53689567430024</v>
      </c>
      <c r="W23">
        <f t="shared" si="21"/>
        <v>89.53689567430024</v>
      </c>
      <c r="X23">
        <f t="shared" si="22"/>
        <v>486.05589567430025</v>
      </c>
      <c r="Y23">
        <f t="shared" si="9"/>
        <v>0.62808708713242656</v>
      </c>
      <c r="Z23">
        <f t="shared" si="10"/>
        <v>978101.25001610687</v>
      </c>
      <c r="AA23">
        <f t="shared" si="11"/>
        <v>149.94824381552164</v>
      </c>
      <c r="AB23" s="7">
        <f t="shared" si="12"/>
        <v>120.46543636005364</v>
      </c>
      <c r="AC23">
        <f t="shared" si="13"/>
        <v>54.311642754698468</v>
      </c>
      <c r="AD23">
        <v>5</v>
      </c>
      <c r="AE23">
        <v>3</v>
      </c>
      <c r="AF23">
        <v>2</v>
      </c>
      <c r="AG23">
        <v>-4</v>
      </c>
      <c r="AH23">
        <f t="shared" si="14"/>
        <v>7.7480378373566541E-2</v>
      </c>
      <c r="AI23">
        <f t="shared" si="15"/>
        <v>3.8655831353907356E-2</v>
      </c>
      <c r="AJ23">
        <f t="shared" si="16"/>
        <v>2.0384653162369731E-2</v>
      </c>
      <c r="AK23">
        <f t="shared" si="17"/>
        <v>5.8077564065738108E-2</v>
      </c>
      <c r="AL23">
        <f t="shared" si="18"/>
        <v>0.19459842695558174</v>
      </c>
      <c r="AM23" s="7">
        <f t="shared" si="20"/>
        <v>65.720304945178327</v>
      </c>
    </row>
    <row r="24" spans="2:39" x14ac:dyDescent="0.25">
      <c r="B24">
        <v>41</v>
      </c>
      <c r="C24" s="16">
        <f>(13*60)+22</f>
        <v>802</v>
      </c>
      <c r="D24" s="5">
        <v>3460.6849999999999</v>
      </c>
      <c r="E24">
        <v>0</v>
      </c>
      <c r="F24">
        <f t="shared" si="1"/>
        <v>3460.6849999999999</v>
      </c>
      <c r="G24">
        <f t="shared" si="2"/>
        <v>-6.2900763360866719E-3</v>
      </c>
      <c r="H24">
        <f t="shared" si="3"/>
        <v>3460.6912900763359</v>
      </c>
      <c r="I24" s="5">
        <f t="shared" si="4"/>
        <v>-22.217709923664188</v>
      </c>
      <c r="J24" s="7">
        <f t="shared" si="5"/>
        <v>978069.19029007643</v>
      </c>
      <c r="K24" s="5">
        <v>6</v>
      </c>
      <c r="L24" s="5">
        <v>38</v>
      </c>
      <c r="M24" s="5">
        <v>42.68</v>
      </c>
      <c r="N24" s="8">
        <v>106</v>
      </c>
      <c r="O24" s="8">
        <v>34</v>
      </c>
      <c r="P24" s="8">
        <v>11.61</v>
      </c>
      <c r="Q24" s="9">
        <f t="shared" si="0"/>
        <v>-6.6451888888888888</v>
      </c>
      <c r="R24">
        <f t="shared" si="6"/>
        <v>106.56989166666666</v>
      </c>
      <c r="S24">
        <f t="shared" si="7"/>
        <v>-0.11598042552805474</v>
      </c>
      <c r="T24">
        <v>526</v>
      </c>
      <c r="U24">
        <f t="shared" si="19"/>
        <v>-8.6488549618320612</v>
      </c>
      <c r="V24">
        <f t="shared" si="8"/>
        <v>534.64885496183206</v>
      </c>
      <c r="W24">
        <f t="shared" si="21"/>
        <v>96.648854961832058</v>
      </c>
      <c r="X24">
        <f t="shared" si="22"/>
        <v>493.16785496183206</v>
      </c>
      <c r="Y24">
        <f t="shared" si="9"/>
        <v>0.63603833679674571</v>
      </c>
      <c r="Z24">
        <f t="shared" si="10"/>
        <v>978101.24591238343</v>
      </c>
      <c r="AA24">
        <f t="shared" si="11"/>
        <v>152.1422832557252</v>
      </c>
      <c r="AB24" s="7">
        <f t="shared" si="12"/>
        <v>120.08666094872359</v>
      </c>
      <c r="AC24">
        <f t="shared" si="13"/>
        <v>55.106329529507633</v>
      </c>
      <c r="AD24">
        <v>-8</v>
      </c>
      <c r="AE24">
        <v>-3</v>
      </c>
      <c r="AF24">
        <v>-5</v>
      </c>
      <c r="AG24">
        <v>-11</v>
      </c>
      <c r="AH24">
        <f t="shared" si="14"/>
        <v>0.13163746491855549</v>
      </c>
      <c r="AI24">
        <f t="shared" si="15"/>
        <v>3.8655831353907356E-2</v>
      </c>
      <c r="AJ24">
        <f t="shared" si="16"/>
        <v>7.7480378373566541E-2</v>
      </c>
      <c r="AK24">
        <f t="shared" si="17"/>
        <v>0.1777782835559025</v>
      </c>
      <c r="AL24">
        <f t="shared" si="18"/>
        <v>0.42555195820193192</v>
      </c>
      <c r="AM24" s="7">
        <f t="shared" si="20"/>
        <v>64.769845040621149</v>
      </c>
    </row>
    <row r="25" spans="2:39" x14ac:dyDescent="0.25">
      <c r="B25">
        <v>40</v>
      </c>
      <c r="C25" s="16">
        <f>(13*60)+4</f>
        <v>784</v>
      </c>
      <c r="D25" s="5">
        <v>3469.087</v>
      </c>
      <c r="E25">
        <v>0</v>
      </c>
      <c r="F25">
        <f t="shared" si="1"/>
        <v>3469.087</v>
      </c>
      <c r="G25">
        <f t="shared" si="2"/>
        <v>-5.9236641223340504E-3</v>
      </c>
      <c r="H25">
        <f t="shared" si="3"/>
        <v>3469.0929236641223</v>
      </c>
      <c r="I25" s="5">
        <f t="shared" si="4"/>
        <v>-13.816076335877824</v>
      </c>
      <c r="J25" s="7">
        <f t="shared" si="5"/>
        <v>978077.59192366421</v>
      </c>
      <c r="K25" s="5">
        <v>6</v>
      </c>
      <c r="L25" s="5">
        <v>38</v>
      </c>
      <c r="M25" s="5">
        <v>41.69</v>
      </c>
      <c r="N25" s="8">
        <v>106</v>
      </c>
      <c r="O25" s="8">
        <v>34</v>
      </c>
      <c r="P25" s="8">
        <v>11.04</v>
      </c>
      <c r="Q25" s="9">
        <f t="shared" si="0"/>
        <v>-6.6449138888888886</v>
      </c>
      <c r="R25">
        <f t="shared" si="6"/>
        <v>106.56973333333333</v>
      </c>
      <c r="S25">
        <f t="shared" si="7"/>
        <v>-0.11597562587261176</v>
      </c>
      <c r="T25">
        <v>491</v>
      </c>
      <c r="U25">
        <f t="shared" si="19"/>
        <v>-8.1450381679389317</v>
      </c>
      <c r="V25">
        <f t="shared" si="8"/>
        <v>499.14503816793894</v>
      </c>
      <c r="W25">
        <f t="shared" si="21"/>
        <v>61.145038167938935</v>
      </c>
      <c r="X25">
        <f t="shared" si="22"/>
        <v>457.66403816793894</v>
      </c>
      <c r="Y25">
        <f t="shared" si="9"/>
        <v>0.59598863476787411</v>
      </c>
      <c r="Z25">
        <f t="shared" si="10"/>
        <v>978101.24019048968</v>
      </c>
      <c r="AA25">
        <f t="shared" si="11"/>
        <v>141.18935577480917</v>
      </c>
      <c r="AB25" s="7">
        <f t="shared" si="12"/>
        <v>117.54108894933344</v>
      </c>
      <c r="AC25">
        <f t="shared" si="13"/>
        <v>51.13915079286641</v>
      </c>
      <c r="AD25">
        <v>-2</v>
      </c>
      <c r="AE25">
        <v>6</v>
      </c>
      <c r="AF25">
        <v>2</v>
      </c>
      <c r="AG25">
        <v>-4</v>
      </c>
      <c r="AH25">
        <f t="shared" si="14"/>
        <v>2.0384653162369731E-2</v>
      </c>
      <c r="AI25">
        <f t="shared" si="15"/>
        <v>9.6344027617202871E-2</v>
      </c>
      <c r="AJ25">
        <f t="shared" si="16"/>
        <v>2.0384653162369731E-2</v>
      </c>
      <c r="AK25">
        <f t="shared" si="17"/>
        <v>5.8077564065738108E-2</v>
      </c>
      <c r="AL25">
        <f t="shared" si="18"/>
        <v>0.19519089800768044</v>
      </c>
      <c r="AM25" s="7">
        <f t="shared" si="20"/>
        <v>66.001140419706829</v>
      </c>
    </row>
    <row r="26" spans="2:39" x14ac:dyDescent="0.25">
      <c r="B26">
        <v>39</v>
      </c>
      <c r="C26" s="16">
        <f>(13*60)+45</f>
        <v>825</v>
      </c>
      <c r="D26" s="5">
        <v>3472.44</v>
      </c>
      <c r="E26">
        <v>0</v>
      </c>
      <c r="F26">
        <f t="shared" si="1"/>
        <v>3472.44</v>
      </c>
      <c r="G26">
        <f t="shared" si="2"/>
        <v>-6.7582697203261329E-3</v>
      </c>
      <c r="H26">
        <f t="shared" si="3"/>
        <v>3472.4467582697202</v>
      </c>
      <c r="I26" s="5">
        <f t="shared" si="4"/>
        <v>-10.462241730279857</v>
      </c>
      <c r="J26" s="7">
        <f t="shared" si="5"/>
        <v>978080.94575826975</v>
      </c>
      <c r="K26" s="5">
        <v>6</v>
      </c>
      <c r="L26" s="5">
        <v>38</v>
      </c>
      <c r="M26" s="5">
        <v>38.75</v>
      </c>
      <c r="N26" s="8">
        <v>106</v>
      </c>
      <c r="O26" s="8">
        <v>34</v>
      </c>
      <c r="P26" s="8">
        <v>9.66</v>
      </c>
      <c r="Q26" s="9">
        <f t="shared" si="0"/>
        <v>-6.6440972222222214</v>
      </c>
      <c r="R26">
        <f t="shared" si="6"/>
        <v>106.56935</v>
      </c>
      <c r="S26">
        <f t="shared" si="7"/>
        <v>-0.11596137235038713</v>
      </c>
      <c r="T26">
        <v>478</v>
      </c>
      <c r="U26">
        <f t="shared" si="19"/>
        <v>-9.2926208651399484</v>
      </c>
      <c r="V26">
        <f t="shared" si="8"/>
        <v>487.29262086513995</v>
      </c>
      <c r="W26">
        <f t="shared" si="21"/>
        <v>49.292620865139952</v>
      </c>
      <c r="X26">
        <f t="shared" si="22"/>
        <v>445.81162086513996</v>
      </c>
      <c r="Y26">
        <f t="shared" si="9"/>
        <v>0.58242039063020978</v>
      </c>
      <c r="Z26">
        <f t="shared" si="10"/>
        <v>978101.22319956974</v>
      </c>
      <c r="AA26">
        <f t="shared" si="11"/>
        <v>137.53288503689566</v>
      </c>
      <c r="AB26" s="7">
        <f t="shared" si="12"/>
        <v>117.25544373690957</v>
      </c>
      <c r="AC26">
        <f t="shared" si="13"/>
        <v>49.814767609660301</v>
      </c>
      <c r="AD26">
        <v>-4</v>
      </c>
      <c r="AE26">
        <v>2</v>
      </c>
      <c r="AF26">
        <v>3</v>
      </c>
      <c r="AG26">
        <v>-2</v>
      </c>
      <c r="AH26">
        <f t="shared" si="14"/>
        <v>5.8077564065738108E-2</v>
      </c>
      <c r="AI26">
        <f t="shared" si="15"/>
        <v>2.0384653162369731E-2</v>
      </c>
      <c r="AJ26">
        <f t="shared" si="16"/>
        <v>3.8655831353907356E-2</v>
      </c>
      <c r="AK26">
        <f t="shared" si="17"/>
        <v>2.0384653162369731E-2</v>
      </c>
      <c r="AL26">
        <f t="shared" si="18"/>
        <v>0.13750270174438492</v>
      </c>
      <c r="AM26" s="7">
        <f t="shared" si="20"/>
        <v>66.995758438363453</v>
      </c>
    </row>
    <row r="27" spans="2:39" x14ac:dyDescent="0.25">
      <c r="B27">
        <v>38</v>
      </c>
      <c r="C27" s="16">
        <f>(13*60)+49</f>
        <v>829</v>
      </c>
      <c r="D27" s="5">
        <v>3474.0709999999999</v>
      </c>
      <c r="E27">
        <v>0</v>
      </c>
      <c r="F27">
        <f t="shared" si="1"/>
        <v>3474.0709999999999</v>
      </c>
      <c r="G27">
        <f t="shared" si="2"/>
        <v>-6.8396946567156041E-3</v>
      </c>
      <c r="H27">
        <f t="shared" si="3"/>
        <v>3474.0778396946566</v>
      </c>
      <c r="I27" s="5">
        <f t="shared" si="4"/>
        <v>-8.8311603053434737</v>
      </c>
      <c r="J27" s="7">
        <f t="shared" si="5"/>
        <v>978082.57683969475</v>
      </c>
      <c r="K27" s="5">
        <v>6</v>
      </c>
      <c r="L27" s="5">
        <v>38</v>
      </c>
      <c r="M27" s="5">
        <v>37.5</v>
      </c>
      <c r="N27" s="8">
        <v>106</v>
      </c>
      <c r="O27" s="8">
        <v>34</v>
      </c>
      <c r="P27" s="8">
        <v>9.2200000000000006</v>
      </c>
      <c r="Q27" s="9">
        <f t="shared" si="0"/>
        <v>-6.6437499999999998</v>
      </c>
      <c r="R27">
        <f t="shared" si="6"/>
        <v>106.56922777777777</v>
      </c>
      <c r="S27">
        <f t="shared" si="7"/>
        <v>-0.11595531217937327</v>
      </c>
      <c r="T27">
        <v>468</v>
      </c>
      <c r="U27">
        <f t="shared" si="19"/>
        <v>-9.4045801526717554</v>
      </c>
      <c r="V27">
        <f t="shared" si="8"/>
        <v>477.40458015267177</v>
      </c>
      <c r="W27">
        <f t="shared" si="21"/>
        <v>39.40458015267177</v>
      </c>
      <c r="X27">
        <f t="shared" si="22"/>
        <v>435.92358015267178</v>
      </c>
      <c r="Y27">
        <f t="shared" si="9"/>
        <v>0.5710249679318673</v>
      </c>
      <c r="Z27">
        <f t="shared" si="10"/>
        <v>978101.2159761606</v>
      </c>
      <c r="AA27">
        <f t="shared" si="11"/>
        <v>134.48242447709924</v>
      </c>
      <c r="AB27" s="7">
        <f t="shared" si="12"/>
        <v>115.84328801125082</v>
      </c>
      <c r="AC27">
        <f t="shared" si="13"/>
        <v>48.709882884469465</v>
      </c>
      <c r="AD27">
        <v>-5</v>
      </c>
      <c r="AE27">
        <v>2</v>
      </c>
      <c r="AF27">
        <v>3</v>
      </c>
      <c r="AG27">
        <v>-2</v>
      </c>
      <c r="AH27">
        <f t="shared" si="14"/>
        <v>7.7480378373566541E-2</v>
      </c>
      <c r="AI27">
        <f t="shared" si="15"/>
        <v>2.0384653162369731E-2</v>
      </c>
      <c r="AJ27">
        <f t="shared" si="16"/>
        <v>3.8655831353907356E-2</v>
      </c>
      <c r="AK27">
        <f t="shared" si="17"/>
        <v>2.0384653162369731E-2</v>
      </c>
      <c r="AL27">
        <f t="shared" si="18"/>
        <v>0.15690551605221337</v>
      </c>
      <c r="AM27" s="7">
        <f t="shared" si="20"/>
        <v>66.719285674901712</v>
      </c>
    </row>
    <row r="28" spans="2:39" x14ac:dyDescent="0.25">
      <c r="B28">
        <v>37</v>
      </c>
      <c r="C28" s="16">
        <f>(13*60)+53</f>
        <v>833</v>
      </c>
      <c r="D28" s="5">
        <v>3476.502</v>
      </c>
      <c r="E28">
        <v>0</v>
      </c>
      <c r="F28">
        <f t="shared" si="1"/>
        <v>3476.502</v>
      </c>
      <c r="G28">
        <f t="shared" si="2"/>
        <v>-6.9211195931050762E-3</v>
      </c>
      <c r="H28">
        <f t="shared" si="3"/>
        <v>3476.5089211195932</v>
      </c>
      <c r="I28" s="5">
        <f t="shared" si="4"/>
        <v>-6.4000788804069089</v>
      </c>
      <c r="J28" s="7">
        <f t="shared" si="5"/>
        <v>978085.00792111969</v>
      </c>
      <c r="K28" s="5">
        <v>6</v>
      </c>
      <c r="L28" s="5">
        <v>38</v>
      </c>
      <c r="M28" s="5">
        <v>36.18</v>
      </c>
      <c r="N28" s="8">
        <v>106</v>
      </c>
      <c r="O28" s="8">
        <v>34</v>
      </c>
      <c r="P28" s="8">
        <v>8.26</v>
      </c>
      <c r="Q28" s="9">
        <f t="shared" si="0"/>
        <v>-6.6433833333333325</v>
      </c>
      <c r="R28">
        <f t="shared" si="6"/>
        <v>106.56896111111111</v>
      </c>
      <c r="S28">
        <f t="shared" si="7"/>
        <v>-0.11594891263878261</v>
      </c>
      <c r="T28">
        <v>455</v>
      </c>
      <c r="U28">
        <f t="shared" si="19"/>
        <v>-9.5165394402035624</v>
      </c>
      <c r="V28">
        <f t="shared" si="8"/>
        <v>464.51653944020359</v>
      </c>
      <c r="W28">
        <f t="shared" si="21"/>
        <v>26.516539440203587</v>
      </c>
      <c r="X28">
        <f t="shared" si="22"/>
        <v>423.03553944020359</v>
      </c>
      <c r="Y28">
        <f t="shared" si="9"/>
        <v>0.55606852852904731</v>
      </c>
      <c r="Z28">
        <f t="shared" si="10"/>
        <v>978101.20834864292</v>
      </c>
      <c r="AA28">
        <f t="shared" si="11"/>
        <v>130.5064639173028</v>
      </c>
      <c r="AB28" s="7">
        <f t="shared" si="12"/>
        <v>114.30603639407073</v>
      </c>
      <c r="AC28">
        <f t="shared" si="13"/>
        <v>47.269779659278626</v>
      </c>
      <c r="AD28">
        <v>-3</v>
      </c>
      <c r="AE28">
        <v>-2</v>
      </c>
      <c r="AF28">
        <v>2</v>
      </c>
      <c r="AG28">
        <v>-4</v>
      </c>
      <c r="AH28">
        <f t="shared" si="14"/>
        <v>3.8655831353907356E-2</v>
      </c>
      <c r="AI28">
        <f t="shared" si="15"/>
        <v>2.0384653162369731E-2</v>
      </c>
      <c r="AJ28">
        <f t="shared" si="16"/>
        <v>2.0384653162369731E-2</v>
      </c>
      <c r="AK28">
        <f t="shared" si="17"/>
        <v>5.8077564065738108E-2</v>
      </c>
      <c r="AL28">
        <f t="shared" si="18"/>
        <v>0.13750270174438492</v>
      </c>
      <c r="AM28" s="7">
        <f t="shared" si="20"/>
        <v>66.617690908007432</v>
      </c>
    </row>
    <row r="29" spans="2:39" x14ac:dyDescent="0.25">
      <c r="B29">
        <v>36</v>
      </c>
      <c r="C29" s="16">
        <f>(14*60)+1</f>
        <v>841</v>
      </c>
      <c r="D29" s="5">
        <v>3475.5859999999998</v>
      </c>
      <c r="E29">
        <v>0</v>
      </c>
      <c r="F29">
        <f t="shared" si="1"/>
        <v>3475.5859999999998</v>
      </c>
      <c r="G29">
        <f t="shared" si="2"/>
        <v>-7.0839694658840187E-3</v>
      </c>
      <c r="H29">
        <f t="shared" si="3"/>
        <v>3475.5930839694656</v>
      </c>
      <c r="I29" s="5">
        <f t="shared" si="4"/>
        <v>-7.3159160305344813</v>
      </c>
      <c r="J29" s="7">
        <f t="shared" si="5"/>
        <v>978084.0920839695</v>
      </c>
      <c r="K29" s="5">
        <v>6</v>
      </c>
      <c r="L29" s="5">
        <v>38</v>
      </c>
      <c r="M29" s="5">
        <v>34.15</v>
      </c>
      <c r="N29" s="8">
        <v>106</v>
      </c>
      <c r="O29" s="8">
        <v>34</v>
      </c>
      <c r="P29" s="8">
        <v>7.36</v>
      </c>
      <c r="Q29" s="9">
        <f t="shared" si="0"/>
        <v>-6.6428194444444442</v>
      </c>
      <c r="R29">
        <f t="shared" si="6"/>
        <v>106.56871111111111</v>
      </c>
      <c r="S29">
        <f t="shared" si="7"/>
        <v>-0.1159390709210561</v>
      </c>
      <c r="T29">
        <v>459</v>
      </c>
      <c r="U29">
        <f t="shared" si="19"/>
        <v>-9.7404580152671763</v>
      </c>
      <c r="V29">
        <f t="shared" si="8"/>
        <v>468.74045801526717</v>
      </c>
      <c r="W29">
        <f t="shared" si="21"/>
        <v>30.740458015267166</v>
      </c>
      <c r="X29">
        <f t="shared" si="22"/>
        <v>427.25945801526717</v>
      </c>
      <c r="Y29">
        <f t="shared" si="9"/>
        <v>0.5609832692321256</v>
      </c>
      <c r="Z29">
        <f t="shared" si="10"/>
        <v>978101.19661925186</v>
      </c>
      <c r="AA29">
        <f t="shared" si="11"/>
        <v>131.80954279770992</v>
      </c>
      <c r="AB29" s="7">
        <f t="shared" si="12"/>
        <v>114.70500751535326</v>
      </c>
      <c r="AC29">
        <f t="shared" si="13"/>
        <v>47.74175820889694</v>
      </c>
      <c r="AD29">
        <v>6</v>
      </c>
      <c r="AE29">
        <v>5</v>
      </c>
      <c r="AF29">
        <v>-4</v>
      </c>
      <c r="AG29">
        <v>3</v>
      </c>
      <c r="AH29">
        <f t="shared" si="14"/>
        <v>9.6344027617202871E-2</v>
      </c>
      <c r="AI29">
        <f t="shared" si="15"/>
        <v>7.7480378373566541E-2</v>
      </c>
      <c r="AJ29">
        <f t="shared" si="16"/>
        <v>5.8077564065738108E-2</v>
      </c>
      <c r="AK29">
        <f t="shared" si="17"/>
        <v>3.8655831353907356E-2</v>
      </c>
      <c r="AL29">
        <f t="shared" si="18"/>
        <v>0.27055780141041491</v>
      </c>
      <c r="AM29" s="7">
        <f t="shared" si="20"/>
        <v>66.672823838634613</v>
      </c>
    </row>
    <row r="30" spans="2:39" x14ac:dyDescent="0.25">
      <c r="B30">
        <v>35</v>
      </c>
      <c r="C30" s="16">
        <f>(14*60)+5</f>
        <v>845</v>
      </c>
      <c r="D30" s="5">
        <v>3470.9450000000002</v>
      </c>
      <c r="E30">
        <v>0</v>
      </c>
      <c r="F30">
        <f t="shared" si="1"/>
        <v>3470.9450000000002</v>
      </c>
      <c r="G30">
        <f t="shared" si="2"/>
        <v>-7.16539440227349E-3</v>
      </c>
      <c r="H30">
        <f t="shared" si="3"/>
        <v>3470.9521653944025</v>
      </c>
      <c r="I30" s="5">
        <f t="shared" si="4"/>
        <v>-11.956834605597578</v>
      </c>
      <c r="J30" s="7">
        <f t="shared" si="5"/>
        <v>978079.45116539451</v>
      </c>
      <c r="K30" s="5">
        <v>6</v>
      </c>
      <c r="L30" s="5">
        <v>38</v>
      </c>
      <c r="M30" s="5">
        <v>32.619999999999997</v>
      </c>
      <c r="N30" s="8">
        <v>106</v>
      </c>
      <c r="O30" s="8">
        <v>34</v>
      </c>
      <c r="P30" s="8">
        <v>7.19</v>
      </c>
      <c r="Q30" s="9">
        <f t="shared" si="0"/>
        <v>-6.6423944444444443</v>
      </c>
      <c r="R30">
        <f t="shared" si="6"/>
        <v>106.56866388888889</v>
      </c>
      <c r="S30">
        <f t="shared" si="7"/>
        <v>-0.11593165327173512</v>
      </c>
      <c r="T30">
        <v>481</v>
      </c>
      <c r="U30">
        <f t="shared" si="19"/>
        <v>-9.8524173027989814</v>
      </c>
      <c r="V30">
        <f t="shared" si="8"/>
        <v>490.85241730279898</v>
      </c>
      <c r="W30">
        <f t="shared" si="21"/>
        <v>52.852417302798983</v>
      </c>
      <c r="X30">
        <f t="shared" si="22"/>
        <v>449.37141730279899</v>
      </c>
      <c r="Y30">
        <f t="shared" si="9"/>
        <v>0.5865059512960249</v>
      </c>
      <c r="Z30">
        <f t="shared" si="10"/>
        <v>978101.18777951959</v>
      </c>
      <c r="AA30">
        <f t="shared" si="11"/>
        <v>138.63108223791349</v>
      </c>
      <c r="AB30" s="7">
        <f t="shared" si="12"/>
        <v>116.89446811283122</v>
      </c>
      <c r="AC30">
        <f t="shared" si="13"/>
        <v>50.212537483706107</v>
      </c>
      <c r="AD30">
        <v>5</v>
      </c>
      <c r="AE30">
        <v>-8</v>
      </c>
      <c r="AF30">
        <v>-7</v>
      </c>
      <c r="AG30">
        <v>-5</v>
      </c>
      <c r="AH30">
        <f t="shared" si="14"/>
        <v>7.7480378373566541E-2</v>
      </c>
      <c r="AI30">
        <f t="shared" si="15"/>
        <v>0.13163746491855549</v>
      </c>
      <c r="AJ30">
        <f t="shared" si="16"/>
        <v>0.11443114505672018</v>
      </c>
      <c r="AK30">
        <f t="shared" si="17"/>
        <v>7.7480378373566541E-2</v>
      </c>
      <c r="AL30">
        <f t="shared" si="18"/>
        <v>0.40102936672240874</v>
      </c>
      <c r="AM30" s="7">
        <f t="shared" si="20"/>
        <v>66.496454044551498</v>
      </c>
    </row>
    <row r="31" spans="2:39" x14ac:dyDescent="0.25">
      <c r="B31">
        <v>34</v>
      </c>
      <c r="C31" s="16">
        <f>(14*60)+9</f>
        <v>849</v>
      </c>
      <c r="D31" s="5">
        <v>3466.9670000000001</v>
      </c>
      <c r="E31">
        <v>0</v>
      </c>
      <c r="F31">
        <f t="shared" si="1"/>
        <v>3466.9670000000001</v>
      </c>
      <c r="G31">
        <f t="shared" si="2"/>
        <v>-7.2468193386629621E-3</v>
      </c>
      <c r="H31">
        <f t="shared" si="3"/>
        <v>3466.974246819339</v>
      </c>
      <c r="I31" s="5">
        <f t="shared" si="4"/>
        <v>-15.934753180661119</v>
      </c>
      <c r="J31" s="7">
        <f t="shared" si="5"/>
        <v>978075.47324681934</v>
      </c>
      <c r="K31" s="5">
        <v>6</v>
      </c>
      <c r="L31" s="5">
        <v>38</v>
      </c>
      <c r="M31" s="5">
        <v>31.17</v>
      </c>
      <c r="N31" s="8">
        <v>106</v>
      </c>
      <c r="O31" s="8">
        <v>34</v>
      </c>
      <c r="P31" s="8">
        <v>6.29</v>
      </c>
      <c r="Q31" s="9">
        <f t="shared" si="0"/>
        <v>-6.6419916666666659</v>
      </c>
      <c r="R31">
        <f t="shared" si="6"/>
        <v>106.56841388888888</v>
      </c>
      <c r="S31">
        <f t="shared" si="7"/>
        <v>-0.11592462347335902</v>
      </c>
      <c r="T31">
        <v>497</v>
      </c>
      <c r="U31">
        <f t="shared" si="19"/>
        <v>-9.9643765903307884</v>
      </c>
      <c r="V31">
        <f t="shared" si="8"/>
        <v>506.9643765903308</v>
      </c>
      <c r="W31">
        <f t="shared" si="21"/>
        <v>68.964376590330801</v>
      </c>
      <c r="X31">
        <f t="shared" si="22"/>
        <v>465.48337659033081</v>
      </c>
      <c r="Y31">
        <f t="shared" si="9"/>
        <v>0.60488561657395745</v>
      </c>
      <c r="Z31">
        <f t="shared" si="10"/>
        <v>978101.17940250807</v>
      </c>
      <c r="AA31">
        <f t="shared" si="11"/>
        <v>143.60162167811706</v>
      </c>
      <c r="AB31" s="7">
        <f t="shared" si="12"/>
        <v>117.89546598938233</v>
      </c>
      <c r="AC31">
        <f t="shared" si="13"/>
        <v>52.012879758515268</v>
      </c>
      <c r="AD31">
        <v>5</v>
      </c>
      <c r="AE31">
        <v>-4</v>
      </c>
      <c r="AF31">
        <v>-7</v>
      </c>
      <c r="AG31">
        <v>-8</v>
      </c>
      <c r="AH31">
        <f t="shared" si="14"/>
        <v>7.7480378373566541E-2</v>
      </c>
      <c r="AI31">
        <f t="shared" si="15"/>
        <v>5.8077564065738108E-2</v>
      </c>
      <c r="AJ31">
        <f t="shared" si="16"/>
        <v>0.11443114505672018</v>
      </c>
      <c r="AK31">
        <f t="shared" si="17"/>
        <v>0.13163746491855549</v>
      </c>
      <c r="AL31">
        <f t="shared" si="18"/>
        <v>0.38162655241458032</v>
      </c>
      <c r="AM31" s="7">
        <f t="shared" si="20"/>
        <v>65.659327166707683</v>
      </c>
    </row>
    <row r="32" spans="2:39" x14ac:dyDescent="0.25">
      <c r="B32">
        <v>33</v>
      </c>
      <c r="C32" s="16">
        <f>(14*60)+15</f>
        <v>855</v>
      </c>
      <c r="D32" s="5">
        <v>3463.5940000000001</v>
      </c>
      <c r="E32">
        <v>0</v>
      </c>
      <c r="F32">
        <f t="shared" si="1"/>
        <v>3463.5940000000001</v>
      </c>
      <c r="G32">
        <f t="shared" si="2"/>
        <v>-7.368956743247169E-3</v>
      </c>
      <c r="H32">
        <f t="shared" si="3"/>
        <v>3463.6013689567435</v>
      </c>
      <c r="I32" s="5">
        <f t="shared" si="4"/>
        <v>-19.307631043256606</v>
      </c>
      <c r="J32" s="7">
        <f t="shared" si="5"/>
        <v>978072.1003689568</v>
      </c>
      <c r="K32" s="5">
        <v>6</v>
      </c>
      <c r="L32" s="5">
        <v>38</v>
      </c>
      <c r="M32" s="5">
        <v>29.37</v>
      </c>
      <c r="N32" s="8">
        <v>106</v>
      </c>
      <c r="O32" s="8">
        <v>34</v>
      </c>
      <c r="P32" s="8">
        <v>5.0199999999999996</v>
      </c>
      <c r="Q32" s="9">
        <f t="shared" si="0"/>
        <v>-6.6414916666666661</v>
      </c>
      <c r="R32">
        <f t="shared" si="6"/>
        <v>106.56806111111111</v>
      </c>
      <c r="S32">
        <f t="shared" si="7"/>
        <v>-0.11591589682709906</v>
      </c>
      <c r="T32">
        <v>513</v>
      </c>
      <c r="U32">
        <f t="shared" si="19"/>
        <v>-10.132315521628499</v>
      </c>
      <c r="V32">
        <f t="shared" si="8"/>
        <v>523.13231552162847</v>
      </c>
      <c r="W32">
        <f t="shared" si="21"/>
        <v>85.13231552162847</v>
      </c>
      <c r="X32">
        <f t="shared" si="22"/>
        <v>481.65131552162848</v>
      </c>
      <c r="Y32">
        <f t="shared" si="9"/>
        <v>0.62314480092402336</v>
      </c>
      <c r="Z32">
        <f t="shared" si="10"/>
        <v>978101.16900415334</v>
      </c>
      <c r="AA32">
        <f t="shared" si="11"/>
        <v>148.58943083842237</v>
      </c>
      <c r="AB32" s="7">
        <f t="shared" si="12"/>
        <v>119.52079564188094</v>
      </c>
      <c r="AC32">
        <f t="shared" si="13"/>
        <v>53.819477170729002</v>
      </c>
      <c r="AD32">
        <v>6</v>
      </c>
      <c r="AE32">
        <v>-3</v>
      </c>
      <c r="AF32">
        <v>-9</v>
      </c>
      <c r="AG32">
        <v>-10</v>
      </c>
      <c r="AH32">
        <f t="shared" si="14"/>
        <v>9.6344027617202871E-2</v>
      </c>
      <c r="AI32">
        <f t="shared" si="15"/>
        <v>3.8655831353907356E-2</v>
      </c>
      <c r="AJ32">
        <f t="shared" si="16"/>
        <v>0.14792671082541906</v>
      </c>
      <c r="AK32">
        <f t="shared" si="17"/>
        <v>0.1632996872780062</v>
      </c>
      <c r="AL32">
        <f t="shared" si="18"/>
        <v>0.4462262570745355</v>
      </c>
      <c r="AM32" s="7">
        <f t="shared" si="20"/>
        <v>65.524399927302454</v>
      </c>
    </row>
    <row r="33" spans="2:39" x14ac:dyDescent="0.25">
      <c r="B33">
        <v>32</v>
      </c>
      <c r="C33" s="16">
        <f>(14*60)+19</f>
        <v>859</v>
      </c>
      <c r="D33" s="5">
        <v>3462.527</v>
      </c>
      <c r="E33">
        <v>0</v>
      </c>
      <c r="F33">
        <f t="shared" si="1"/>
        <v>3462.527</v>
      </c>
      <c r="G33">
        <f t="shared" si="2"/>
        <v>-7.4503816796366402E-3</v>
      </c>
      <c r="H33">
        <f t="shared" si="3"/>
        <v>3462.5344503816796</v>
      </c>
      <c r="I33" s="5">
        <f t="shared" si="4"/>
        <v>-20.374549618320543</v>
      </c>
      <c r="J33" s="7">
        <f t="shared" si="5"/>
        <v>978071.03345038171</v>
      </c>
      <c r="K33" s="5">
        <v>6</v>
      </c>
      <c r="L33" s="5">
        <v>38</v>
      </c>
      <c r="M33" s="5">
        <v>28.41</v>
      </c>
      <c r="N33" s="8">
        <v>106</v>
      </c>
      <c r="O33" s="8">
        <v>34</v>
      </c>
      <c r="P33" s="8">
        <v>3.46</v>
      </c>
      <c r="Q33" s="9">
        <f t="shared" si="0"/>
        <v>-6.6412249999999995</v>
      </c>
      <c r="R33">
        <f t="shared" si="6"/>
        <v>106.56762777777777</v>
      </c>
      <c r="S33">
        <f t="shared" si="7"/>
        <v>-0.1159112426157604</v>
      </c>
      <c r="T33">
        <v>520</v>
      </c>
      <c r="U33">
        <f t="shared" si="19"/>
        <v>-10.244274809160306</v>
      </c>
      <c r="V33">
        <f t="shared" si="8"/>
        <v>530.24427480916029</v>
      </c>
      <c r="W33">
        <f t="shared" si="21"/>
        <v>92.244274809160288</v>
      </c>
      <c r="X33">
        <f t="shared" si="22"/>
        <v>488.76327480916029</v>
      </c>
      <c r="Y33">
        <f t="shared" si="9"/>
        <v>0.63111817907925849</v>
      </c>
      <c r="Z33">
        <f t="shared" si="10"/>
        <v>978101.16345867841</v>
      </c>
      <c r="AA33">
        <f t="shared" si="11"/>
        <v>150.78347027862594</v>
      </c>
      <c r="AB33" s="7">
        <f t="shared" si="12"/>
        <v>120.65346198193413</v>
      </c>
      <c r="AC33">
        <f t="shared" si="13"/>
        <v>54.614163945538159</v>
      </c>
      <c r="AD33">
        <v>2</v>
      </c>
      <c r="AE33">
        <v>2</v>
      </c>
      <c r="AF33">
        <v>-4</v>
      </c>
      <c r="AG33">
        <v>-5</v>
      </c>
      <c r="AH33">
        <f t="shared" si="14"/>
        <v>2.0384653162369731E-2</v>
      </c>
      <c r="AI33">
        <f t="shared" si="15"/>
        <v>2.0384653162369731E-2</v>
      </c>
      <c r="AJ33">
        <f t="shared" si="16"/>
        <v>5.8077564065738108E-2</v>
      </c>
      <c r="AK33">
        <f t="shared" si="17"/>
        <v>7.7480378373566541E-2</v>
      </c>
      <c r="AL33">
        <f t="shared" si="18"/>
        <v>0.1763272487640441</v>
      </c>
      <c r="AM33" s="7">
        <f t="shared" si="20"/>
        <v>65.58450710608075</v>
      </c>
    </row>
    <row r="34" spans="2:39" x14ac:dyDescent="0.25">
      <c r="B34">
        <v>31</v>
      </c>
      <c r="C34" s="16">
        <f>(14*60)+23</f>
        <v>863</v>
      </c>
      <c r="D34" s="5">
        <v>3461.7660000000001</v>
      </c>
      <c r="E34">
        <v>0</v>
      </c>
      <c r="F34">
        <f t="shared" si="1"/>
        <v>3461.7660000000001</v>
      </c>
      <c r="G34">
        <f t="shared" si="2"/>
        <v>-7.5318066160261123E-3</v>
      </c>
      <c r="H34">
        <f t="shared" si="3"/>
        <v>3461.7735318066161</v>
      </c>
      <c r="I34" s="5">
        <f t="shared" si="4"/>
        <v>-21.135468193383986</v>
      </c>
      <c r="J34" s="7">
        <f t="shared" si="5"/>
        <v>978070.27253180672</v>
      </c>
      <c r="K34" s="5">
        <v>6</v>
      </c>
      <c r="L34" s="5">
        <v>38</v>
      </c>
      <c r="M34" s="5">
        <v>27.35</v>
      </c>
      <c r="N34" s="8">
        <v>106</v>
      </c>
      <c r="O34" s="8">
        <v>34</v>
      </c>
      <c r="P34" s="8">
        <v>2.96</v>
      </c>
      <c r="Q34" s="9">
        <f t="shared" si="0"/>
        <v>-6.6409305555555553</v>
      </c>
      <c r="R34">
        <f t="shared" si="6"/>
        <v>106.56748888888889</v>
      </c>
      <c r="S34">
        <f t="shared" si="7"/>
        <v>-0.11590610359074065</v>
      </c>
      <c r="T34">
        <v>523</v>
      </c>
      <c r="U34">
        <f t="shared" si="19"/>
        <v>-10.356234096692113</v>
      </c>
      <c r="V34">
        <f t="shared" si="8"/>
        <v>533.35623409669211</v>
      </c>
      <c r="W34">
        <f t="shared" si="21"/>
        <v>95.356234096692106</v>
      </c>
      <c r="X34">
        <f t="shared" si="22"/>
        <v>491.87523409669211</v>
      </c>
      <c r="Y34">
        <f t="shared" si="9"/>
        <v>0.63459582916041368</v>
      </c>
      <c r="Z34">
        <f t="shared" si="10"/>
        <v>978101.15733580408</v>
      </c>
      <c r="AA34">
        <f t="shared" si="11"/>
        <v>151.7435097188295</v>
      </c>
      <c r="AB34" s="7">
        <f t="shared" si="12"/>
        <v>120.85870572147678</v>
      </c>
      <c r="AC34">
        <f t="shared" si="13"/>
        <v>54.961892720347322</v>
      </c>
      <c r="AD34">
        <v>1</v>
      </c>
      <c r="AE34">
        <v>2</v>
      </c>
      <c r="AF34">
        <v>-2</v>
      </c>
      <c r="AG34">
        <v>-3</v>
      </c>
      <c r="AH34">
        <f t="shared" si="14"/>
        <v>5.905047403128365E-3</v>
      </c>
      <c r="AI34">
        <f t="shared" si="15"/>
        <v>2.0384653162369731E-2</v>
      </c>
      <c r="AJ34">
        <f t="shared" si="16"/>
        <v>2.0384653162369731E-2</v>
      </c>
      <c r="AK34">
        <f t="shared" si="17"/>
        <v>3.8655831353907356E-2</v>
      </c>
      <c r="AL34">
        <f t="shared" si="18"/>
        <v>8.5330185081775173E-2</v>
      </c>
      <c r="AM34" s="7">
        <f t="shared" si="20"/>
        <v>65.347547357050814</v>
      </c>
    </row>
    <row r="35" spans="2:39" x14ac:dyDescent="0.25">
      <c r="B35">
        <v>30</v>
      </c>
      <c r="C35" s="16">
        <f>(14*60)+28</f>
        <v>868</v>
      </c>
      <c r="D35" s="5">
        <v>3461.6709999999998</v>
      </c>
      <c r="E35">
        <v>0</v>
      </c>
      <c r="F35">
        <f t="shared" si="1"/>
        <v>3461.6709999999998</v>
      </c>
      <c r="G35">
        <f t="shared" si="2"/>
        <v>-7.633587786512951E-3</v>
      </c>
      <c r="H35">
        <f t="shared" si="3"/>
        <v>3461.6786335877864</v>
      </c>
      <c r="I35" s="5">
        <f t="shared" si="4"/>
        <v>-21.230366412213698</v>
      </c>
      <c r="J35" s="7">
        <f t="shared" si="5"/>
        <v>978070.17763358785</v>
      </c>
      <c r="K35" s="5">
        <v>6</v>
      </c>
      <c r="L35" s="5">
        <v>38</v>
      </c>
      <c r="M35" s="5">
        <v>25.79</v>
      </c>
      <c r="N35" s="8">
        <v>106</v>
      </c>
      <c r="O35" s="8">
        <v>34</v>
      </c>
      <c r="P35" s="8">
        <v>3.05</v>
      </c>
      <c r="Q35" s="9">
        <f t="shared" si="0"/>
        <v>-6.6404972222222218</v>
      </c>
      <c r="R35">
        <f t="shared" si="6"/>
        <v>106.56751388888888</v>
      </c>
      <c r="S35">
        <f t="shared" si="7"/>
        <v>-0.11589854049731534</v>
      </c>
      <c r="T35">
        <v>525</v>
      </c>
      <c r="U35">
        <f t="shared" si="19"/>
        <v>-10.496183206106871</v>
      </c>
      <c r="V35">
        <f t="shared" si="8"/>
        <v>535.49618320610682</v>
      </c>
      <c r="W35">
        <f t="shared" si="21"/>
        <v>97.496183206106821</v>
      </c>
      <c r="X35">
        <f t="shared" si="22"/>
        <v>494.01518320610683</v>
      </c>
      <c r="Y35">
        <f t="shared" si="9"/>
        <v>0.63698327714428737</v>
      </c>
      <c r="Z35">
        <f t="shared" si="10"/>
        <v>978101.14832526608</v>
      </c>
      <c r="AA35">
        <f t="shared" si="11"/>
        <v>152.40368401908395</v>
      </c>
      <c r="AB35" s="7">
        <f t="shared" si="12"/>
        <v>121.4329923408533</v>
      </c>
      <c r="AC35">
        <f t="shared" si="13"/>
        <v>55.201009563858769</v>
      </c>
      <c r="AD35">
        <v>-8</v>
      </c>
      <c r="AE35">
        <v>5</v>
      </c>
      <c r="AF35">
        <v>4</v>
      </c>
      <c r="AG35">
        <v>-4</v>
      </c>
      <c r="AH35">
        <f t="shared" si="14"/>
        <v>0.13163746491855549</v>
      </c>
      <c r="AI35">
        <f t="shared" si="15"/>
        <v>7.7480378373566541E-2</v>
      </c>
      <c r="AJ35">
        <f t="shared" si="16"/>
        <v>5.8077564065738108E-2</v>
      </c>
      <c r="AK35">
        <f t="shared" si="17"/>
        <v>5.8077564065738108E-2</v>
      </c>
      <c r="AL35">
        <f t="shared" si="18"/>
        <v>0.32527297142359823</v>
      </c>
      <c r="AM35" s="7">
        <f t="shared" si="20"/>
        <v>65.920272471273847</v>
      </c>
    </row>
    <row r="36" spans="2:39" x14ac:dyDescent="0.25">
      <c r="B36" s="2" t="s">
        <v>3</v>
      </c>
      <c r="C36" s="16">
        <f>(14*60)+46</f>
        <v>886</v>
      </c>
      <c r="D36" s="5">
        <v>3482.9009999999998</v>
      </c>
      <c r="E36">
        <v>0</v>
      </c>
      <c r="F36">
        <f t="shared" si="1"/>
        <v>3482.9009999999998</v>
      </c>
      <c r="G36">
        <f t="shared" si="2"/>
        <v>-8.0000000002655725E-3</v>
      </c>
      <c r="H36">
        <f t="shared" si="3"/>
        <v>3482.9090000000001</v>
      </c>
      <c r="I36" s="5">
        <f t="shared" si="4"/>
        <v>0</v>
      </c>
      <c r="J36" s="7">
        <f t="shared" si="5"/>
        <v>978091.40800000005</v>
      </c>
      <c r="K36" s="5">
        <v>6</v>
      </c>
      <c r="L36" s="5">
        <v>38</v>
      </c>
      <c r="M36" s="5">
        <v>26.93</v>
      </c>
      <c r="N36" s="8">
        <v>106</v>
      </c>
      <c r="O36" s="8">
        <v>33</v>
      </c>
      <c r="P36" s="8">
        <v>47.17</v>
      </c>
      <c r="Q36" s="9">
        <f t="shared" si="0"/>
        <v>-6.6408138888888883</v>
      </c>
      <c r="R36">
        <f t="shared" si="6"/>
        <v>106.56310277777777</v>
      </c>
      <c r="S36">
        <f t="shared" si="7"/>
        <v>-0.11590406737327998</v>
      </c>
      <c r="T36">
        <v>427</v>
      </c>
      <c r="U36">
        <f t="shared" si="19"/>
        <v>-11</v>
      </c>
      <c r="V36">
        <f t="shared" si="8"/>
        <v>438</v>
      </c>
      <c r="W36">
        <f t="shared" si="21"/>
        <v>0</v>
      </c>
      <c r="X36">
        <v>396.51900000000001</v>
      </c>
      <c r="Y36">
        <f t="shared" si="9"/>
        <v>0.52492729067563015</v>
      </c>
      <c r="Z36">
        <f t="shared" si="10"/>
        <v>978101.15490983333</v>
      </c>
      <c r="AA36">
        <f t="shared" si="11"/>
        <v>122.3261115</v>
      </c>
      <c r="AB36" s="7">
        <f t="shared" si="12"/>
        <v>112.57920166671963</v>
      </c>
      <c r="AC36">
        <f t="shared" si="13"/>
        <v>44.306834800499999</v>
      </c>
      <c r="AD36">
        <v>3</v>
      </c>
      <c r="AE36">
        <v>5</v>
      </c>
      <c r="AF36">
        <v>3</v>
      </c>
      <c r="AG36">
        <v>-2</v>
      </c>
      <c r="AH36">
        <f t="shared" si="14"/>
        <v>3.8655831353907356E-2</v>
      </c>
      <c r="AI36">
        <f t="shared" si="15"/>
        <v>7.7480378373566541E-2</v>
      </c>
      <c r="AJ36">
        <f t="shared" si="16"/>
        <v>3.8655831353907356E-2</v>
      </c>
      <c r="AK36">
        <f t="shared" si="17"/>
        <v>2.0384653162369731E-2</v>
      </c>
      <c r="AL36">
        <f t="shared" si="18"/>
        <v>0.17517669424375099</v>
      </c>
      <c r="AM36" s="7">
        <f t="shared" si="20"/>
        <v>67.922616269787738</v>
      </c>
    </row>
  </sheetData>
  <mergeCells count="29">
    <mergeCell ref="AD1:AG2"/>
    <mergeCell ref="AH1:AK2"/>
    <mergeCell ref="AL1:AL3"/>
    <mergeCell ref="AM1:AM3"/>
    <mergeCell ref="Y1:Y3"/>
    <mergeCell ref="Z1:Z3"/>
    <mergeCell ref="W1:W2"/>
    <mergeCell ref="AA1:AA3"/>
    <mergeCell ref="AB1:AB3"/>
    <mergeCell ref="AC1:AC3"/>
    <mergeCell ref="S1:S2"/>
    <mergeCell ref="U1:U2"/>
    <mergeCell ref="V1:V2"/>
    <mergeCell ref="T1:T2"/>
    <mergeCell ref="J1:J2"/>
    <mergeCell ref="N2:P2"/>
    <mergeCell ref="Q2:Q3"/>
    <mergeCell ref="K1:R1"/>
    <mergeCell ref="R2:R3"/>
    <mergeCell ref="K2:M2"/>
    <mergeCell ref="H1:H2"/>
    <mergeCell ref="I1:I3"/>
    <mergeCell ref="C1:C2"/>
    <mergeCell ref="E1:E2"/>
    <mergeCell ref="A1:A3"/>
    <mergeCell ref="B1:B3"/>
    <mergeCell ref="D1:D3"/>
    <mergeCell ref="F1:F2"/>
    <mergeCell ref="G1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"/>
  <sheetViews>
    <sheetView topLeftCell="S1" zoomScale="86" zoomScaleNormal="86" workbookViewId="0">
      <selection activeCell="U28" sqref="U28"/>
    </sheetView>
  </sheetViews>
  <sheetFormatPr defaultRowHeight="15" x14ac:dyDescent="0.25"/>
  <cols>
    <col min="10" max="10" width="18.42578125" bestFit="1" customWidth="1"/>
    <col min="11" max="12" width="10.28515625" customWidth="1"/>
    <col min="17" max="17" width="16.42578125" customWidth="1"/>
    <col min="18" max="18" width="16.28515625" bestFit="1" customWidth="1"/>
    <col min="19" max="19" width="15.85546875" customWidth="1"/>
    <col min="20" max="20" width="12.5703125" bestFit="1" customWidth="1"/>
    <col min="21" max="21" width="12.5703125" customWidth="1"/>
    <col min="22" max="23" width="9.85546875" customWidth="1"/>
    <col min="28" max="28" width="10.5703125" bestFit="1" customWidth="1"/>
  </cols>
  <sheetData>
    <row r="1" spans="1:39" x14ac:dyDescent="0.25">
      <c r="A1" s="20" t="s">
        <v>2</v>
      </c>
      <c r="B1" s="20" t="s">
        <v>0</v>
      </c>
      <c r="C1" s="20" t="s">
        <v>4</v>
      </c>
      <c r="D1" s="20" t="s">
        <v>6</v>
      </c>
      <c r="E1" s="20" t="s">
        <v>7</v>
      </c>
      <c r="F1" s="20" t="s">
        <v>9</v>
      </c>
      <c r="G1" s="20" t="s">
        <v>7</v>
      </c>
      <c r="H1" s="20" t="s">
        <v>12</v>
      </c>
      <c r="I1" s="20" t="s">
        <v>13</v>
      </c>
      <c r="J1" s="23" t="s">
        <v>14</v>
      </c>
      <c r="K1" s="28" t="s">
        <v>15</v>
      </c>
      <c r="L1" s="29"/>
      <c r="M1" s="29"/>
      <c r="N1" s="29"/>
      <c r="O1" s="29"/>
      <c r="P1" s="29"/>
      <c r="Q1" s="29"/>
      <c r="R1" s="30"/>
      <c r="S1" s="20" t="s">
        <v>21</v>
      </c>
      <c r="T1" s="20" t="s">
        <v>26</v>
      </c>
      <c r="U1" s="20" t="s">
        <v>12</v>
      </c>
      <c r="V1" s="20" t="s">
        <v>23</v>
      </c>
      <c r="W1" s="20" t="s">
        <v>25</v>
      </c>
      <c r="X1" s="14" t="b">
        <v>1</v>
      </c>
      <c r="Y1" s="20" t="s">
        <v>28</v>
      </c>
      <c r="Z1" s="20" t="s">
        <v>29</v>
      </c>
      <c r="AA1" s="20" t="s">
        <v>30</v>
      </c>
      <c r="AB1" s="20" t="s">
        <v>31</v>
      </c>
      <c r="AC1" s="20" t="s">
        <v>32</v>
      </c>
      <c r="AD1" s="36" t="s">
        <v>37</v>
      </c>
      <c r="AE1" s="37"/>
      <c r="AF1" s="37"/>
      <c r="AG1" s="38"/>
      <c r="AH1" s="36" t="s">
        <v>38</v>
      </c>
      <c r="AI1" s="37"/>
      <c r="AJ1" s="37"/>
      <c r="AK1" s="38"/>
      <c r="AL1" s="20" t="s">
        <v>39</v>
      </c>
      <c r="AM1" s="20" t="s">
        <v>40</v>
      </c>
    </row>
    <row r="2" spans="1:39" x14ac:dyDescent="0.25">
      <c r="A2" s="21"/>
      <c r="B2" s="21"/>
      <c r="C2" s="21"/>
      <c r="D2" s="21"/>
      <c r="E2" s="21"/>
      <c r="F2" s="21"/>
      <c r="G2" s="21"/>
      <c r="H2" s="21"/>
      <c r="I2" s="21"/>
      <c r="J2" s="24"/>
      <c r="K2" s="31" t="s">
        <v>16</v>
      </c>
      <c r="L2" s="32"/>
      <c r="M2" s="33"/>
      <c r="N2" s="31" t="s">
        <v>17</v>
      </c>
      <c r="O2" s="32"/>
      <c r="P2" s="33"/>
      <c r="Q2" s="34" t="s">
        <v>16</v>
      </c>
      <c r="R2" s="34" t="s">
        <v>17</v>
      </c>
      <c r="S2" s="21"/>
      <c r="T2" s="21"/>
      <c r="U2" s="21"/>
      <c r="V2" s="21"/>
      <c r="W2" s="21"/>
      <c r="X2" s="15" t="s">
        <v>23</v>
      </c>
      <c r="Y2" s="21"/>
      <c r="Z2" s="21"/>
      <c r="AA2" s="21"/>
      <c r="AB2" s="21"/>
      <c r="AC2" s="21"/>
      <c r="AD2" s="39"/>
      <c r="AE2" s="40"/>
      <c r="AF2" s="40"/>
      <c r="AG2" s="41"/>
      <c r="AH2" s="39"/>
      <c r="AI2" s="40"/>
      <c r="AJ2" s="40"/>
      <c r="AK2" s="41"/>
      <c r="AL2" s="21"/>
      <c r="AM2" s="21"/>
    </row>
    <row r="3" spans="1:39" x14ac:dyDescent="0.25">
      <c r="A3" s="27"/>
      <c r="B3" s="27"/>
      <c r="C3" s="11" t="s">
        <v>5</v>
      </c>
      <c r="D3" s="27"/>
      <c r="E3" s="11" t="s">
        <v>8</v>
      </c>
      <c r="F3" s="12" t="s">
        <v>11</v>
      </c>
      <c r="G3" s="11" t="s">
        <v>12</v>
      </c>
      <c r="H3" s="11" t="s">
        <v>10</v>
      </c>
      <c r="I3" s="27"/>
      <c r="J3" s="13">
        <v>978091.40800000005</v>
      </c>
      <c r="K3" s="10" t="s">
        <v>18</v>
      </c>
      <c r="L3" s="10" t="s">
        <v>19</v>
      </c>
      <c r="M3" s="10" t="s">
        <v>20</v>
      </c>
      <c r="N3" s="10" t="s">
        <v>18</v>
      </c>
      <c r="O3" s="10" t="s">
        <v>19</v>
      </c>
      <c r="P3" s="10" t="s">
        <v>20</v>
      </c>
      <c r="Q3" s="35"/>
      <c r="R3" s="35"/>
      <c r="S3" s="11" t="s">
        <v>22</v>
      </c>
      <c r="T3" s="11" t="s">
        <v>27</v>
      </c>
      <c r="U3" s="11" t="s">
        <v>23</v>
      </c>
      <c r="V3" s="11" t="s">
        <v>11</v>
      </c>
      <c r="W3" s="11" t="s">
        <v>23</v>
      </c>
      <c r="X3" s="11" t="s">
        <v>24</v>
      </c>
      <c r="Y3" s="27"/>
      <c r="Z3" s="27"/>
      <c r="AA3" s="27"/>
      <c r="AB3" s="27"/>
      <c r="AC3" s="27"/>
      <c r="AD3" s="10" t="s">
        <v>33</v>
      </c>
      <c r="AE3" s="10" t="s">
        <v>34</v>
      </c>
      <c r="AF3" s="10" t="s">
        <v>35</v>
      </c>
      <c r="AG3" s="10" t="s">
        <v>36</v>
      </c>
      <c r="AH3" s="10" t="s">
        <v>33</v>
      </c>
      <c r="AI3" s="10" t="s">
        <v>34</v>
      </c>
      <c r="AJ3" s="10" t="s">
        <v>35</v>
      </c>
      <c r="AK3" s="10" t="s">
        <v>36</v>
      </c>
      <c r="AL3" s="27"/>
      <c r="AM3" s="27"/>
    </row>
    <row r="4" spans="1:39" x14ac:dyDescent="0.25">
      <c r="B4" t="s">
        <v>1</v>
      </c>
      <c r="C4" s="4">
        <f>(8*60)+38</f>
        <v>518</v>
      </c>
      <c r="D4">
        <v>3484.5030000000002</v>
      </c>
      <c r="E4">
        <v>0</v>
      </c>
      <c r="F4">
        <f>D4+E4</f>
        <v>3484.5030000000002</v>
      </c>
      <c r="G4">
        <f t="shared" ref="G4:G28" si="0">(($F$28-$F$4)/($C$28-$C$4))*(C4-$C$4)</f>
        <v>0</v>
      </c>
      <c r="H4">
        <f>F4-G4</f>
        <v>3484.5030000000002</v>
      </c>
      <c r="I4" s="5">
        <f>H4-$H$4</f>
        <v>0</v>
      </c>
      <c r="J4" s="7">
        <f>I4+$J$3</f>
        <v>978091.40800000005</v>
      </c>
      <c r="K4" s="5">
        <v>6</v>
      </c>
      <c r="L4" s="5">
        <v>38</v>
      </c>
      <c r="M4" s="5">
        <v>26.79</v>
      </c>
      <c r="N4" s="8">
        <v>106</v>
      </c>
      <c r="O4" s="8">
        <v>33</v>
      </c>
      <c r="P4" s="8">
        <v>47.25</v>
      </c>
      <c r="Q4" s="9">
        <f t="shared" ref="Q4:Q28" si="1">-(K4+(L4/60)+(M4/3600))</f>
        <v>-6.6407749999999997</v>
      </c>
      <c r="R4">
        <f>(N4+(O4/60)+(P4/3600))</f>
        <v>106.563125</v>
      </c>
      <c r="S4">
        <f>RADIANS(Q4)</f>
        <v>-0.11590338863412643</v>
      </c>
      <c r="T4">
        <v>409</v>
      </c>
      <c r="U4">
        <f t="shared" ref="U4:U28" si="2">(T$28-T$4)*(C4-C$4)/(C$28-C$4)</f>
        <v>0</v>
      </c>
      <c r="V4">
        <f>T4-U4</f>
        <v>409</v>
      </c>
      <c r="W4">
        <f>V4-V$4</f>
        <v>0</v>
      </c>
      <c r="X4">
        <v>396.51900000000001</v>
      </c>
      <c r="Y4">
        <f>(0.0004462*X4/0.3048)-(0.00000003282*(X4^2)/(0.3048^2))+(0.00000000000000127*(X4^3)/(0.3048^3))</f>
        <v>0.52492729067563015</v>
      </c>
      <c r="Z4">
        <f>978031.8*(1+0.0053024*(SIN(S4))^2)+0.0000058*(SIN(2*S4))^2</f>
        <v>978101.15410118562</v>
      </c>
      <c r="AA4">
        <f>0.3085*X4</f>
        <v>122.3261115</v>
      </c>
      <c r="AB4" s="7">
        <f>J4-Z4+AA4</f>
        <v>112.58001031443698</v>
      </c>
      <c r="AC4">
        <f>0.04185*2.67*X4</f>
        <v>44.306834800499999</v>
      </c>
      <c r="AD4">
        <v>3</v>
      </c>
      <c r="AE4">
        <v>5</v>
      </c>
      <c r="AF4">
        <v>3</v>
      </c>
      <c r="AG4">
        <v>-2</v>
      </c>
      <c r="AH4">
        <f>0.04191*(2.67/4)*((20-2)+SQRT((2^2+AD4^2))-SQRT((20^2+AD4^2)))</f>
        <v>3.8655831353907356E-2</v>
      </c>
      <c r="AI4">
        <f>0.04191*(2.67/4)*((20-2)+SQRT((2^2+AE4^2))-SQRT((20^2+AE4^2)))</f>
        <v>7.7480378373566541E-2</v>
      </c>
      <c r="AJ4">
        <f>0.04191*(2.67/4)*((20-2)+SQRT((2^2+AF4^2))-SQRT((20^2+AF4^2)))</f>
        <v>3.8655831353907356E-2</v>
      </c>
      <c r="AK4">
        <f>0.04191*(2.67/4)*((20-2)+SQRT((2^2+AG4^2))-SQRT((20^2+AG4^2)))</f>
        <v>2.0384653162369731E-2</v>
      </c>
      <c r="AL4">
        <f>SUM(AH4:AK4)</f>
        <v>0.17517669424375099</v>
      </c>
      <c r="AM4" s="7">
        <f>AB4-AC4+AL4-Y4</f>
        <v>67.923424917505088</v>
      </c>
    </row>
    <row r="5" spans="1:39" x14ac:dyDescent="0.25">
      <c r="B5">
        <v>29</v>
      </c>
      <c r="C5" s="4">
        <f>(8*60)+53</f>
        <v>533</v>
      </c>
      <c r="D5">
        <v>3467.9090000000001</v>
      </c>
      <c r="E5">
        <v>0</v>
      </c>
      <c r="F5">
        <f t="shared" ref="F5:F28" si="3">D5+E5</f>
        <v>3467.9090000000001</v>
      </c>
      <c r="G5">
        <f t="shared" si="0"/>
        <v>-3.2500000000008723E-2</v>
      </c>
      <c r="H5">
        <f t="shared" ref="H5:H28" si="4">F5-G5</f>
        <v>3467.9414999999999</v>
      </c>
      <c r="I5" s="5">
        <f t="shared" ref="I5:I28" si="5">H5-$H$4</f>
        <v>-16.561500000000251</v>
      </c>
      <c r="J5" s="7">
        <f t="shared" ref="J5:J28" si="6">I5+$J$3</f>
        <v>978074.8465000001</v>
      </c>
      <c r="K5" s="5">
        <v>6</v>
      </c>
      <c r="L5" s="5">
        <v>38</v>
      </c>
      <c r="M5" s="5">
        <v>24.2</v>
      </c>
      <c r="N5" s="8">
        <v>106</v>
      </c>
      <c r="O5" s="8">
        <v>34</v>
      </c>
      <c r="P5" s="8">
        <v>3.02</v>
      </c>
      <c r="Q5" s="9">
        <f t="shared" si="1"/>
        <v>-6.6400555555555547</v>
      </c>
      <c r="R5">
        <f t="shared" ref="R5:R28" si="7">(N5+(O5/60)+(P5/3600))</f>
        <v>106.56750555555556</v>
      </c>
      <c r="S5">
        <f t="shared" ref="S5:S28" si="8">RADIANS(Q5)</f>
        <v>-0.11589083195978568</v>
      </c>
      <c r="T5">
        <v>498</v>
      </c>
      <c r="U5">
        <f t="shared" si="2"/>
        <v>1.1734693877551021</v>
      </c>
      <c r="V5">
        <f t="shared" ref="V5:V28" si="9">T5-U5</f>
        <v>496.82653061224488</v>
      </c>
      <c r="W5">
        <f>V5-V$4</f>
        <v>87.826530612244881</v>
      </c>
      <c r="X5">
        <f>X$4+W5</f>
        <v>484.34553061224489</v>
      </c>
      <c r="Y5">
        <f t="shared" ref="Y5:Y28" si="10">(0.0004462*X5/0.3048)-(0.00000003282*(X5^2)/(0.3048^2))+(0.00000000000000127*(X5^3)/(0.3048^3))</f>
        <v>0.62616955028728372</v>
      </c>
      <c r="Z5">
        <f t="shared" ref="Z5:Z28" si="11">978031.8*(1+0.0053024*(SIN(S5))^2)+0.0000058*(SIN(2*S5))^2</f>
        <v>978101.13914204272</v>
      </c>
      <c r="AA5">
        <f t="shared" ref="AA5:AA28" si="12">0.3085*X5</f>
        <v>149.42059619387754</v>
      </c>
      <c r="AB5" s="7">
        <f t="shared" ref="AB5:AB28" si="13">J5-Z5+AA5</f>
        <v>123.12795415125464</v>
      </c>
      <c r="AC5">
        <f t="shared" ref="AC5:AC28" si="14">0.04185*2.67*X5</f>
        <v>54.120527417846937</v>
      </c>
      <c r="AD5">
        <v>-3</v>
      </c>
      <c r="AE5">
        <v>-3</v>
      </c>
      <c r="AF5">
        <v>3</v>
      </c>
      <c r="AG5">
        <v>4</v>
      </c>
      <c r="AH5">
        <f t="shared" ref="AH5:AK28" si="15">0.04191*(2.67/4)*((20-2)+SQRT((2^2+AD5^2))-SQRT((20^2+AD5^2)))</f>
        <v>3.8655831353907356E-2</v>
      </c>
      <c r="AI5">
        <f t="shared" si="15"/>
        <v>3.8655831353907356E-2</v>
      </c>
      <c r="AJ5">
        <f t="shared" si="15"/>
        <v>3.8655831353907356E-2</v>
      </c>
      <c r="AK5">
        <f t="shared" si="15"/>
        <v>5.8077564065738108E-2</v>
      </c>
      <c r="AL5">
        <f t="shared" ref="AL5:AL28" si="16">SUM(AH5:AK5)</f>
        <v>0.17404505812746018</v>
      </c>
      <c r="AM5" s="7">
        <f>AB5-AC5+AL5-Y5</f>
        <v>68.555302241247873</v>
      </c>
    </row>
    <row r="6" spans="1:39" x14ac:dyDescent="0.25">
      <c r="B6">
        <v>28</v>
      </c>
      <c r="C6" s="4">
        <f>(9*60)+11</f>
        <v>551</v>
      </c>
      <c r="D6">
        <v>3468.0720000000001</v>
      </c>
      <c r="E6">
        <v>0</v>
      </c>
      <c r="F6">
        <f t="shared" si="3"/>
        <v>3468.0720000000001</v>
      </c>
      <c r="G6">
        <f t="shared" si="0"/>
        <v>-7.1500000000019187E-2</v>
      </c>
      <c r="H6">
        <f t="shared" si="4"/>
        <v>3468.1435000000001</v>
      </c>
      <c r="I6" s="5">
        <f t="shared" si="5"/>
        <v>-16.359500000000025</v>
      </c>
      <c r="J6" s="7">
        <f t="shared" si="6"/>
        <v>978075.04850000003</v>
      </c>
      <c r="K6" s="5">
        <v>6</v>
      </c>
      <c r="L6" s="5">
        <v>38</v>
      </c>
      <c r="M6" s="5">
        <v>22.68</v>
      </c>
      <c r="N6" s="8">
        <v>106</v>
      </c>
      <c r="O6" s="8">
        <v>34</v>
      </c>
      <c r="P6" s="8">
        <v>1.4</v>
      </c>
      <c r="Q6" s="9">
        <f t="shared" si="1"/>
        <v>-6.6396333333333333</v>
      </c>
      <c r="R6">
        <f t="shared" si="7"/>
        <v>106.56705555555556</v>
      </c>
      <c r="S6">
        <f t="shared" si="8"/>
        <v>-0.11588346279183284</v>
      </c>
      <c r="T6">
        <v>494</v>
      </c>
      <c r="U6">
        <f t="shared" si="2"/>
        <v>2.5816326530612246</v>
      </c>
      <c r="V6">
        <f t="shared" si="9"/>
        <v>491.41836734693879</v>
      </c>
      <c r="W6">
        <f>V6-V$4</f>
        <v>82.418367346938794</v>
      </c>
      <c r="X6">
        <f>X$4+W6</f>
        <v>478.9373673469388</v>
      </c>
      <c r="Y6">
        <f t="shared" si="10"/>
        <v>0.62009271338063388</v>
      </c>
      <c r="Z6">
        <f t="shared" si="11"/>
        <v>978101.13036367309</v>
      </c>
      <c r="AA6">
        <f t="shared" si="12"/>
        <v>147.75217782653061</v>
      </c>
      <c r="AB6" s="7">
        <f t="shared" si="13"/>
        <v>121.670314153476</v>
      </c>
      <c r="AC6">
        <f t="shared" si="14"/>
        <v>53.516221958663266</v>
      </c>
      <c r="AD6">
        <v>4</v>
      </c>
      <c r="AE6">
        <v>2</v>
      </c>
      <c r="AF6">
        <v>-2</v>
      </c>
      <c r="AG6">
        <v>-1</v>
      </c>
      <c r="AH6">
        <f t="shared" si="15"/>
        <v>5.8077564065738108E-2</v>
      </c>
      <c r="AI6">
        <f t="shared" si="15"/>
        <v>2.0384653162369731E-2</v>
      </c>
      <c r="AJ6">
        <f t="shared" si="15"/>
        <v>2.0384653162369731E-2</v>
      </c>
      <c r="AK6">
        <f t="shared" si="15"/>
        <v>5.905047403128365E-3</v>
      </c>
      <c r="AL6">
        <f t="shared" si="16"/>
        <v>0.10475191779360593</v>
      </c>
      <c r="AM6" s="7">
        <f t="shared" ref="AM6:AM28" si="17">AB6-AC6+AL6-Y6</f>
        <v>67.638751399225711</v>
      </c>
    </row>
    <row r="7" spans="1:39" x14ac:dyDescent="0.25">
      <c r="B7">
        <v>27</v>
      </c>
      <c r="C7" s="4">
        <f>(9*60)+16</f>
        <v>556</v>
      </c>
      <c r="D7">
        <v>3466.232</v>
      </c>
      <c r="E7">
        <v>0</v>
      </c>
      <c r="F7">
        <f t="shared" si="3"/>
        <v>3466.232</v>
      </c>
      <c r="G7">
        <f t="shared" si="0"/>
        <v>-8.2333333333355435E-2</v>
      </c>
      <c r="H7">
        <f t="shared" si="4"/>
        <v>3466.3143333333333</v>
      </c>
      <c r="I7" s="5">
        <f t="shared" si="5"/>
        <v>-18.188666666666904</v>
      </c>
      <c r="J7" s="7">
        <f t="shared" si="6"/>
        <v>978073.21933333343</v>
      </c>
      <c r="K7" s="5">
        <v>6</v>
      </c>
      <c r="L7" s="5">
        <v>38</v>
      </c>
      <c r="M7" s="5">
        <v>21.6</v>
      </c>
      <c r="N7" s="8">
        <v>106</v>
      </c>
      <c r="O7" s="8">
        <v>34</v>
      </c>
      <c r="P7" s="8">
        <v>0.66</v>
      </c>
      <c r="Q7" s="9">
        <f t="shared" si="1"/>
        <v>-6.6393333333333331</v>
      </c>
      <c r="R7">
        <f t="shared" si="7"/>
        <v>106.56685</v>
      </c>
      <c r="S7">
        <f t="shared" si="8"/>
        <v>-0.11587822680407685</v>
      </c>
      <c r="T7">
        <v>506</v>
      </c>
      <c r="U7">
        <f t="shared" si="2"/>
        <v>2.9727891156462585</v>
      </c>
      <c r="V7">
        <f t="shared" si="9"/>
        <v>503.02721088435374</v>
      </c>
      <c r="W7">
        <f t="shared" ref="W7:W28" si="18">V7-V$4</f>
        <v>94.027210884353735</v>
      </c>
      <c r="X7">
        <f t="shared" ref="X7:X27" si="19">X$4+W7</f>
        <v>490.54621088435374</v>
      </c>
      <c r="Y7">
        <f t="shared" si="10"/>
        <v>0.6331114674695989</v>
      </c>
      <c r="Z7">
        <f t="shared" si="11"/>
        <v>978101.12412674353</v>
      </c>
      <c r="AA7">
        <f t="shared" si="12"/>
        <v>151.33350605782312</v>
      </c>
      <c r="AB7" s="7">
        <f t="shared" si="13"/>
        <v>123.4287126477268</v>
      </c>
      <c r="AC7">
        <f t="shared" si="14"/>
        <v>54.813388331112243</v>
      </c>
      <c r="AD7">
        <v>3</v>
      </c>
      <c r="AE7">
        <v>-3</v>
      </c>
      <c r="AF7">
        <v>-4</v>
      </c>
      <c r="AG7">
        <v>2</v>
      </c>
      <c r="AH7">
        <f t="shared" si="15"/>
        <v>3.8655831353907356E-2</v>
      </c>
      <c r="AI7">
        <f t="shared" si="15"/>
        <v>3.8655831353907356E-2</v>
      </c>
      <c r="AJ7">
        <f t="shared" si="15"/>
        <v>5.8077564065738108E-2</v>
      </c>
      <c r="AK7">
        <f t="shared" si="15"/>
        <v>2.0384653162369731E-2</v>
      </c>
      <c r="AL7">
        <f t="shared" si="16"/>
        <v>0.15577387993592254</v>
      </c>
      <c r="AM7" s="7">
        <f t="shared" si="17"/>
        <v>68.137986729080879</v>
      </c>
    </row>
    <row r="8" spans="1:39" x14ac:dyDescent="0.25">
      <c r="B8">
        <v>26</v>
      </c>
      <c r="C8" s="4">
        <f>(9*60)+21</f>
        <v>561</v>
      </c>
      <c r="D8">
        <v>3466.4169999999999</v>
      </c>
      <c r="E8">
        <v>0</v>
      </c>
      <c r="F8">
        <f t="shared" si="3"/>
        <v>3466.4169999999999</v>
      </c>
      <c r="G8">
        <f t="shared" si="0"/>
        <v>-9.3166666666691669E-2</v>
      </c>
      <c r="H8">
        <f t="shared" si="4"/>
        <v>3466.5101666666665</v>
      </c>
      <c r="I8" s="5">
        <f t="shared" si="5"/>
        <v>-17.992833333333692</v>
      </c>
      <c r="J8" s="7">
        <f t="shared" si="6"/>
        <v>978073.41516666673</v>
      </c>
      <c r="K8" s="5">
        <v>6</v>
      </c>
      <c r="L8" s="5">
        <v>38</v>
      </c>
      <c r="M8" s="5">
        <v>20.69</v>
      </c>
      <c r="N8" s="8">
        <v>106</v>
      </c>
      <c r="O8" s="8">
        <v>34</v>
      </c>
      <c r="P8" s="8">
        <v>0.3</v>
      </c>
      <c r="Q8" s="9">
        <f t="shared" si="1"/>
        <v>-6.6390805555555552</v>
      </c>
      <c r="R8">
        <f t="shared" si="7"/>
        <v>106.56675</v>
      </c>
      <c r="S8">
        <f t="shared" si="8"/>
        <v>-0.11587381499957874</v>
      </c>
      <c r="T8">
        <v>503</v>
      </c>
      <c r="U8">
        <f t="shared" si="2"/>
        <v>3.3639455782312924</v>
      </c>
      <c r="V8">
        <f t="shared" si="9"/>
        <v>499.63605442176873</v>
      </c>
      <c r="W8">
        <f t="shared" si="18"/>
        <v>90.636054421768733</v>
      </c>
      <c r="X8">
        <f t="shared" si="19"/>
        <v>487.15505442176874</v>
      </c>
      <c r="Y8">
        <f t="shared" si="10"/>
        <v>0.6293182931943947</v>
      </c>
      <c r="Z8">
        <f t="shared" si="11"/>
        <v>978101.11887176777</v>
      </c>
      <c r="AA8">
        <f t="shared" si="12"/>
        <v>150.28733428911565</v>
      </c>
      <c r="AB8" s="7">
        <f t="shared" si="13"/>
        <v>122.58362918807453</v>
      </c>
      <c r="AC8">
        <f t="shared" si="14"/>
        <v>54.434462203561225</v>
      </c>
      <c r="AD8">
        <v>-4</v>
      </c>
      <c r="AE8">
        <v>2</v>
      </c>
      <c r="AF8">
        <v>1</v>
      </c>
      <c r="AG8">
        <v>-3</v>
      </c>
      <c r="AH8">
        <f t="shared" si="15"/>
        <v>5.8077564065738108E-2</v>
      </c>
      <c r="AI8">
        <f t="shared" si="15"/>
        <v>2.0384653162369731E-2</v>
      </c>
      <c r="AJ8">
        <f t="shared" si="15"/>
        <v>5.905047403128365E-3</v>
      </c>
      <c r="AK8">
        <f t="shared" si="15"/>
        <v>3.8655831353907356E-2</v>
      </c>
      <c r="AL8">
        <f t="shared" si="16"/>
        <v>0.12302309598514355</v>
      </c>
      <c r="AM8" s="7">
        <f t="shared" si="17"/>
        <v>67.642871787304045</v>
      </c>
    </row>
    <row r="9" spans="1:39" x14ac:dyDescent="0.25">
      <c r="B9">
        <v>25</v>
      </c>
      <c r="C9" s="4">
        <f>(9*60)+3</f>
        <v>543</v>
      </c>
      <c r="D9">
        <v>3470.1289999999999</v>
      </c>
      <c r="E9">
        <v>0</v>
      </c>
      <c r="F9">
        <f t="shared" si="3"/>
        <v>3470.1289999999999</v>
      </c>
      <c r="G9">
        <f t="shared" si="0"/>
        <v>-5.4166666666681205E-2</v>
      </c>
      <c r="H9">
        <f t="shared" si="4"/>
        <v>3470.1831666666667</v>
      </c>
      <c r="I9" s="5">
        <f t="shared" si="5"/>
        <v>-14.319833333333463</v>
      </c>
      <c r="J9" s="7">
        <f t="shared" si="6"/>
        <v>978077.08816666668</v>
      </c>
      <c r="K9" s="5">
        <v>6</v>
      </c>
      <c r="L9" s="5">
        <v>38</v>
      </c>
      <c r="M9" s="5">
        <v>18.27</v>
      </c>
      <c r="N9" s="8">
        <v>106</v>
      </c>
      <c r="O9" s="8">
        <v>33</v>
      </c>
      <c r="P9" s="8">
        <v>59.17</v>
      </c>
      <c r="Q9" s="9">
        <f t="shared" si="1"/>
        <v>-6.6384083333333326</v>
      </c>
      <c r="R9">
        <f t="shared" si="7"/>
        <v>106.5664361111111</v>
      </c>
      <c r="S9">
        <f t="shared" si="8"/>
        <v>-0.11586208250849589</v>
      </c>
      <c r="T9">
        <v>487</v>
      </c>
      <c r="U9">
        <f t="shared" si="2"/>
        <v>1.9557823129251701</v>
      </c>
      <c r="V9">
        <f t="shared" si="9"/>
        <v>485.04421768707482</v>
      </c>
      <c r="W9">
        <f t="shared" si="18"/>
        <v>76.04421768707482</v>
      </c>
      <c r="X9">
        <f t="shared" si="19"/>
        <v>472.56321768707483</v>
      </c>
      <c r="Y9">
        <f t="shared" si="10"/>
        <v>0.61290392739016619</v>
      </c>
      <c r="Z9">
        <f t="shared" si="11"/>
        <v>978101.10489795287</v>
      </c>
      <c r="AA9">
        <f t="shared" si="12"/>
        <v>145.78575265646259</v>
      </c>
      <c r="AB9" s="7">
        <f t="shared" si="13"/>
        <v>121.769021370274</v>
      </c>
      <c r="AC9">
        <f t="shared" si="14"/>
        <v>52.803977662744892</v>
      </c>
      <c r="AD9">
        <v>-5</v>
      </c>
      <c r="AE9">
        <v>4</v>
      </c>
      <c r="AF9">
        <v>3</v>
      </c>
      <c r="AG9">
        <v>-3</v>
      </c>
      <c r="AH9">
        <f t="shared" si="15"/>
        <v>7.7480378373566541E-2</v>
      </c>
      <c r="AI9">
        <f t="shared" si="15"/>
        <v>5.8077564065738108E-2</v>
      </c>
      <c r="AJ9">
        <f t="shared" si="15"/>
        <v>3.8655831353907356E-2</v>
      </c>
      <c r="AK9">
        <f t="shared" si="15"/>
        <v>3.8655831353907356E-2</v>
      </c>
      <c r="AL9">
        <f t="shared" si="16"/>
        <v>0.21286960514711933</v>
      </c>
      <c r="AM9" s="7">
        <f t="shared" si="17"/>
        <v>68.565009385286061</v>
      </c>
    </row>
    <row r="10" spans="1:39" x14ac:dyDescent="0.25">
      <c r="B10">
        <v>24</v>
      </c>
      <c r="C10" s="4">
        <f>(9*60)+38</f>
        <v>578</v>
      </c>
      <c r="D10">
        <v>3472.4430000000002</v>
      </c>
      <c r="E10">
        <v>0</v>
      </c>
      <c r="F10">
        <f t="shared" si="3"/>
        <v>3472.4430000000002</v>
      </c>
      <c r="G10">
        <f t="shared" si="0"/>
        <v>-0.13000000000003489</v>
      </c>
      <c r="H10">
        <f t="shared" si="4"/>
        <v>3472.5730000000003</v>
      </c>
      <c r="I10" s="5">
        <f t="shared" si="5"/>
        <v>-11.929999999999836</v>
      </c>
      <c r="J10" s="7">
        <f t="shared" si="6"/>
        <v>978079.478</v>
      </c>
      <c r="K10" s="5">
        <v>6</v>
      </c>
      <c r="L10" s="5">
        <v>38</v>
      </c>
      <c r="M10" s="5">
        <v>17.010000000000002</v>
      </c>
      <c r="N10" s="8">
        <v>106</v>
      </c>
      <c r="O10" s="8">
        <v>33</v>
      </c>
      <c r="P10" s="8">
        <v>58.35</v>
      </c>
      <c r="Q10" s="9">
        <f t="shared" si="1"/>
        <v>-6.6380583333333325</v>
      </c>
      <c r="R10">
        <f t="shared" si="7"/>
        <v>106.56620833333334</v>
      </c>
      <c r="S10">
        <f t="shared" si="8"/>
        <v>-0.11585597385611392</v>
      </c>
      <c r="T10">
        <v>475</v>
      </c>
      <c r="U10">
        <f t="shared" si="2"/>
        <v>4.6938775510204085</v>
      </c>
      <c r="V10">
        <f t="shared" si="9"/>
        <v>470.30612244897958</v>
      </c>
      <c r="W10">
        <f t="shared" si="18"/>
        <v>61.306122448979579</v>
      </c>
      <c r="X10">
        <f t="shared" si="19"/>
        <v>457.82512244897958</v>
      </c>
      <c r="Y10">
        <f t="shared" si="10"/>
        <v>0.59617235504503041</v>
      </c>
      <c r="Z10">
        <f t="shared" si="11"/>
        <v>978101.09762288036</v>
      </c>
      <c r="AA10">
        <f t="shared" si="12"/>
        <v>141.23905027551021</v>
      </c>
      <c r="AB10" s="7">
        <f t="shared" si="13"/>
        <v>119.6194273951501</v>
      </c>
      <c r="AC10">
        <f t="shared" si="14"/>
        <v>51.157150269887751</v>
      </c>
      <c r="AD10">
        <v>4</v>
      </c>
      <c r="AE10">
        <v>5</v>
      </c>
      <c r="AF10">
        <v>4</v>
      </c>
      <c r="AG10">
        <v>-3</v>
      </c>
      <c r="AH10">
        <f t="shared" si="15"/>
        <v>5.8077564065738108E-2</v>
      </c>
      <c r="AI10">
        <f t="shared" si="15"/>
        <v>7.7480378373566541E-2</v>
      </c>
      <c r="AJ10">
        <f t="shared" si="15"/>
        <v>5.8077564065738108E-2</v>
      </c>
      <c r="AK10">
        <f t="shared" si="15"/>
        <v>3.8655831353907356E-2</v>
      </c>
      <c r="AL10">
        <f t="shared" si="16"/>
        <v>0.23229133785895009</v>
      </c>
      <c r="AM10" s="7">
        <f t="shared" si="17"/>
        <v>68.098396108076273</v>
      </c>
    </row>
    <row r="11" spans="1:39" x14ac:dyDescent="0.25">
      <c r="B11">
        <v>23</v>
      </c>
      <c r="C11" s="4">
        <f>(9*60)+47</f>
        <v>587</v>
      </c>
      <c r="D11">
        <v>3471.1610000000001</v>
      </c>
      <c r="E11">
        <v>0</v>
      </c>
      <c r="F11">
        <f t="shared" si="3"/>
        <v>3471.1610000000001</v>
      </c>
      <c r="G11">
        <f t="shared" si="0"/>
        <v>-0.14950000000004013</v>
      </c>
      <c r="H11">
        <f t="shared" si="4"/>
        <v>3471.3105</v>
      </c>
      <c r="I11" s="5">
        <f t="shared" si="5"/>
        <v>-13.192500000000109</v>
      </c>
      <c r="J11" s="7">
        <f t="shared" si="6"/>
        <v>978078.21550000005</v>
      </c>
      <c r="K11" s="5">
        <v>6</v>
      </c>
      <c r="L11" s="5">
        <v>38</v>
      </c>
      <c r="M11" s="5">
        <v>15.01</v>
      </c>
      <c r="N11" s="8">
        <v>106</v>
      </c>
      <c r="O11" s="8">
        <v>33</v>
      </c>
      <c r="P11" s="8">
        <v>57.74</v>
      </c>
      <c r="Q11" s="9">
        <f t="shared" si="1"/>
        <v>-6.6375027777777769</v>
      </c>
      <c r="R11">
        <f t="shared" si="7"/>
        <v>106.56603888888888</v>
      </c>
      <c r="S11">
        <f t="shared" si="8"/>
        <v>-0.11584627758249172</v>
      </c>
      <c r="T11">
        <v>480</v>
      </c>
      <c r="U11">
        <f t="shared" si="2"/>
        <v>5.3979591836734695</v>
      </c>
      <c r="V11">
        <f t="shared" si="9"/>
        <v>474.60204081632651</v>
      </c>
      <c r="W11">
        <f t="shared" si="18"/>
        <v>65.602040816326507</v>
      </c>
      <c r="X11">
        <f t="shared" si="19"/>
        <v>462.12104081632651</v>
      </c>
      <c r="Y11">
        <f t="shared" si="10"/>
        <v>0.60106518452867741</v>
      </c>
      <c r="Z11">
        <f t="shared" si="11"/>
        <v>978101.08607591991</v>
      </c>
      <c r="AA11">
        <f t="shared" si="12"/>
        <v>142.56434109183672</v>
      </c>
      <c r="AB11" s="7">
        <f t="shared" si="13"/>
        <v>119.69376517197296</v>
      </c>
      <c r="AC11">
        <f t="shared" si="14"/>
        <v>51.637174040295911</v>
      </c>
      <c r="AD11">
        <v>-3</v>
      </c>
      <c r="AE11">
        <v>2</v>
      </c>
      <c r="AF11">
        <v>2</v>
      </c>
      <c r="AG11">
        <v>-2</v>
      </c>
      <c r="AH11">
        <f t="shared" si="15"/>
        <v>3.8655831353907356E-2</v>
      </c>
      <c r="AI11">
        <f t="shared" si="15"/>
        <v>2.0384653162369731E-2</v>
      </c>
      <c r="AJ11">
        <f t="shared" si="15"/>
        <v>2.0384653162369731E-2</v>
      </c>
      <c r="AK11">
        <f t="shared" si="15"/>
        <v>2.0384653162369731E-2</v>
      </c>
      <c r="AL11">
        <f t="shared" si="16"/>
        <v>9.9809790841016544E-2</v>
      </c>
      <c r="AM11" s="7">
        <f t="shared" si="17"/>
        <v>67.555335737989381</v>
      </c>
    </row>
    <row r="12" spans="1:39" x14ac:dyDescent="0.25">
      <c r="B12">
        <v>22</v>
      </c>
      <c r="C12" s="4">
        <f>(9*60)+53</f>
        <v>593</v>
      </c>
      <c r="D12">
        <v>3471.605</v>
      </c>
      <c r="E12">
        <v>0</v>
      </c>
      <c r="F12">
        <f t="shared" si="3"/>
        <v>3471.605</v>
      </c>
      <c r="G12">
        <f t="shared" si="0"/>
        <v>-0.16250000000004361</v>
      </c>
      <c r="H12">
        <f t="shared" si="4"/>
        <v>3471.7674999999999</v>
      </c>
      <c r="I12" s="5">
        <f t="shared" si="5"/>
        <v>-12.735500000000229</v>
      </c>
      <c r="J12" s="7">
        <f t="shared" si="6"/>
        <v>978078.6725000001</v>
      </c>
      <c r="K12" s="5">
        <v>6</v>
      </c>
      <c r="L12" s="5">
        <v>38</v>
      </c>
      <c r="M12" s="5">
        <v>13.57</v>
      </c>
      <c r="N12" s="8">
        <v>106</v>
      </c>
      <c r="O12" s="8">
        <v>33</v>
      </c>
      <c r="P12" s="8">
        <v>58.87</v>
      </c>
      <c r="Q12" s="9">
        <f t="shared" si="1"/>
        <v>-6.6371027777777769</v>
      </c>
      <c r="R12">
        <f t="shared" si="7"/>
        <v>106.56635277777778</v>
      </c>
      <c r="S12">
        <f t="shared" si="8"/>
        <v>-0.11583929626548374</v>
      </c>
      <c r="T12">
        <v>478</v>
      </c>
      <c r="U12">
        <f t="shared" si="2"/>
        <v>5.8673469387755102</v>
      </c>
      <c r="V12">
        <f t="shared" si="9"/>
        <v>472.13265306122452</v>
      </c>
      <c r="W12">
        <f t="shared" si="18"/>
        <v>63.132653061224516</v>
      </c>
      <c r="X12">
        <f t="shared" si="19"/>
        <v>459.65165306122452</v>
      </c>
      <c r="Y12">
        <f t="shared" si="10"/>
        <v>0.59825427234101702</v>
      </c>
      <c r="Z12">
        <f t="shared" si="11"/>
        <v>978101.07776269573</v>
      </c>
      <c r="AA12">
        <f t="shared" si="12"/>
        <v>141.80253496938775</v>
      </c>
      <c r="AB12" s="7">
        <f t="shared" si="13"/>
        <v>119.39727227376233</v>
      </c>
      <c r="AC12">
        <f t="shared" si="14"/>
        <v>51.361245887234695</v>
      </c>
      <c r="AD12">
        <v>5</v>
      </c>
      <c r="AE12">
        <v>4</v>
      </c>
      <c r="AF12">
        <v>-3</v>
      </c>
      <c r="AG12">
        <v>-4</v>
      </c>
      <c r="AH12">
        <f t="shared" si="15"/>
        <v>7.7480378373566541E-2</v>
      </c>
      <c r="AI12">
        <f t="shared" si="15"/>
        <v>5.8077564065738108E-2</v>
      </c>
      <c r="AJ12">
        <f t="shared" si="15"/>
        <v>3.8655831353907356E-2</v>
      </c>
      <c r="AK12">
        <f t="shared" si="15"/>
        <v>5.8077564065738108E-2</v>
      </c>
      <c r="AL12">
        <f t="shared" si="16"/>
        <v>0.23229133785895009</v>
      </c>
      <c r="AM12" s="7">
        <f t="shared" si="17"/>
        <v>67.670063452045554</v>
      </c>
    </row>
    <row r="13" spans="1:39" x14ac:dyDescent="0.25">
      <c r="B13">
        <v>21</v>
      </c>
      <c r="C13" s="4">
        <f>(9*60)+53</f>
        <v>593</v>
      </c>
      <c r="D13">
        <v>3471.4960000000001</v>
      </c>
      <c r="E13">
        <v>0</v>
      </c>
      <c r="F13">
        <f t="shared" si="3"/>
        <v>3471.4960000000001</v>
      </c>
      <c r="G13">
        <f t="shared" si="0"/>
        <v>-0.16250000000004361</v>
      </c>
      <c r="H13">
        <f t="shared" si="4"/>
        <v>3471.6585</v>
      </c>
      <c r="I13" s="5">
        <f t="shared" si="5"/>
        <v>-12.844500000000153</v>
      </c>
      <c r="J13" s="7">
        <f t="shared" si="6"/>
        <v>978078.56350000005</v>
      </c>
      <c r="K13" s="5">
        <v>6</v>
      </c>
      <c r="L13" s="5">
        <v>38</v>
      </c>
      <c r="M13" s="5">
        <v>12.19</v>
      </c>
      <c r="N13" s="8">
        <v>106</v>
      </c>
      <c r="O13" s="8">
        <v>33</v>
      </c>
      <c r="P13" s="8">
        <v>55.74</v>
      </c>
      <c r="Q13" s="9">
        <f t="shared" si="1"/>
        <v>-6.6367194444444442</v>
      </c>
      <c r="R13">
        <f t="shared" si="7"/>
        <v>106.56548333333333</v>
      </c>
      <c r="S13">
        <f t="shared" si="8"/>
        <v>-0.11583260583668444</v>
      </c>
      <c r="T13">
        <v>476</v>
      </c>
      <c r="U13">
        <f t="shared" si="2"/>
        <v>5.8673469387755102</v>
      </c>
      <c r="V13">
        <f t="shared" si="9"/>
        <v>470.13265306122452</v>
      </c>
      <c r="W13">
        <f t="shared" si="18"/>
        <v>61.132653061224516</v>
      </c>
      <c r="X13">
        <f t="shared" si="19"/>
        <v>457.65165306122452</v>
      </c>
      <c r="Y13">
        <f t="shared" si="10"/>
        <v>0.59597450851382761</v>
      </c>
      <c r="Z13">
        <f t="shared" si="11"/>
        <v>978101.06979631784</v>
      </c>
      <c r="AA13">
        <f t="shared" si="12"/>
        <v>141.18553496938776</v>
      </c>
      <c r="AB13" s="7">
        <f t="shared" si="13"/>
        <v>118.67923865159619</v>
      </c>
      <c r="AC13">
        <f t="shared" si="14"/>
        <v>51.13776688723469</v>
      </c>
      <c r="AD13">
        <v>-6</v>
      </c>
      <c r="AE13">
        <v>-5</v>
      </c>
      <c r="AF13">
        <v>5</v>
      </c>
      <c r="AG13">
        <v>-5</v>
      </c>
      <c r="AH13">
        <f t="shared" si="15"/>
        <v>9.6344027617202871E-2</v>
      </c>
      <c r="AI13">
        <f t="shared" si="15"/>
        <v>7.7480378373566541E-2</v>
      </c>
      <c r="AJ13">
        <f t="shared" si="15"/>
        <v>7.7480378373566541E-2</v>
      </c>
      <c r="AK13">
        <f t="shared" si="15"/>
        <v>7.7480378373566541E-2</v>
      </c>
      <c r="AL13">
        <f t="shared" si="16"/>
        <v>0.32878516273790248</v>
      </c>
      <c r="AM13" s="7">
        <f t="shared" si="17"/>
        <v>67.274282418585571</v>
      </c>
    </row>
    <row r="14" spans="1:39" x14ac:dyDescent="0.25">
      <c r="B14">
        <v>20</v>
      </c>
      <c r="C14" s="4">
        <f>(10*60)+13</f>
        <v>613</v>
      </c>
      <c r="D14">
        <v>3476.306</v>
      </c>
      <c r="E14">
        <v>0</v>
      </c>
      <c r="F14">
        <f t="shared" si="3"/>
        <v>3476.306</v>
      </c>
      <c r="G14">
        <f t="shared" si="0"/>
        <v>-0.20583333333338857</v>
      </c>
      <c r="H14">
        <f t="shared" si="4"/>
        <v>3476.5118333333335</v>
      </c>
      <c r="I14" s="5">
        <f t="shared" si="5"/>
        <v>-7.9911666666666861</v>
      </c>
      <c r="J14" s="7">
        <f t="shared" si="6"/>
        <v>978083.41683333344</v>
      </c>
      <c r="K14" s="5">
        <v>6</v>
      </c>
      <c r="L14" s="5">
        <v>38</v>
      </c>
      <c r="M14" s="8">
        <v>11.54</v>
      </c>
      <c r="N14" s="8">
        <v>106</v>
      </c>
      <c r="O14" s="8">
        <v>33</v>
      </c>
      <c r="P14" s="8">
        <v>55.3</v>
      </c>
      <c r="Q14" s="9">
        <f t="shared" si="1"/>
        <v>-6.6365388888888885</v>
      </c>
      <c r="R14">
        <f t="shared" si="7"/>
        <v>106.5653611111111</v>
      </c>
      <c r="S14">
        <f t="shared" si="8"/>
        <v>-0.11582945454775723</v>
      </c>
      <c r="T14">
        <v>452</v>
      </c>
      <c r="U14">
        <f t="shared" si="2"/>
        <v>7.4319727891156466</v>
      </c>
      <c r="V14">
        <f t="shared" si="9"/>
        <v>444.56802721088434</v>
      </c>
      <c r="W14">
        <f t="shared" si="18"/>
        <v>35.568027210884338</v>
      </c>
      <c r="X14">
        <f t="shared" si="19"/>
        <v>432.08702721088434</v>
      </c>
      <c r="Y14">
        <f t="shared" si="10"/>
        <v>0.56658495336827763</v>
      </c>
      <c r="Z14">
        <f t="shared" si="11"/>
        <v>978101.06604419486</v>
      </c>
      <c r="AA14">
        <f t="shared" si="12"/>
        <v>133.29884789455781</v>
      </c>
      <c r="AB14" s="7">
        <f t="shared" si="13"/>
        <v>115.64963703313941</v>
      </c>
      <c r="AC14">
        <f t="shared" si="14"/>
        <v>48.28118837703061</v>
      </c>
      <c r="AD14">
        <v>5</v>
      </c>
      <c r="AE14">
        <v>6</v>
      </c>
      <c r="AF14">
        <v>7</v>
      </c>
      <c r="AG14">
        <v>4</v>
      </c>
      <c r="AH14">
        <f t="shared" si="15"/>
        <v>7.7480378373566541E-2</v>
      </c>
      <c r="AI14">
        <f t="shared" si="15"/>
        <v>9.6344027617202871E-2</v>
      </c>
      <c r="AJ14">
        <f t="shared" si="15"/>
        <v>0.11443114505672018</v>
      </c>
      <c r="AK14">
        <f t="shared" si="15"/>
        <v>5.8077564065738108E-2</v>
      </c>
      <c r="AL14">
        <f t="shared" si="16"/>
        <v>0.34633311511322773</v>
      </c>
      <c r="AM14" s="7">
        <f t="shared" si="17"/>
        <v>67.148196817853744</v>
      </c>
    </row>
    <row r="15" spans="1:39" x14ac:dyDescent="0.25">
      <c r="B15">
        <v>19</v>
      </c>
      <c r="C15" s="4">
        <f>(10*60)+18</f>
        <v>618</v>
      </c>
      <c r="D15">
        <v>3470.3069999999998</v>
      </c>
      <c r="E15">
        <v>0</v>
      </c>
      <c r="F15">
        <f t="shared" si="3"/>
        <v>3470.3069999999998</v>
      </c>
      <c r="G15">
        <f t="shared" si="0"/>
        <v>-0.21666666666672482</v>
      </c>
      <c r="H15">
        <f t="shared" si="4"/>
        <v>3470.5236666666665</v>
      </c>
      <c r="I15" s="5">
        <f t="shared" si="5"/>
        <v>-13.97933333333367</v>
      </c>
      <c r="J15" s="7">
        <f t="shared" si="6"/>
        <v>978077.42866666673</v>
      </c>
      <c r="K15" s="5">
        <v>6</v>
      </c>
      <c r="L15" s="5">
        <v>38</v>
      </c>
      <c r="M15" s="8">
        <v>9.7799999999999994</v>
      </c>
      <c r="N15" s="8">
        <v>106</v>
      </c>
      <c r="O15" s="8">
        <v>33</v>
      </c>
      <c r="P15" s="8">
        <v>54.61</v>
      </c>
      <c r="Q15" s="9">
        <f t="shared" si="1"/>
        <v>-6.6360499999999991</v>
      </c>
      <c r="R15">
        <f t="shared" si="7"/>
        <v>106.56516944444444</v>
      </c>
      <c r="S15">
        <f t="shared" si="8"/>
        <v>-0.11582092182696969</v>
      </c>
      <c r="T15">
        <v>482</v>
      </c>
      <c r="U15">
        <f t="shared" si="2"/>
        <v>7.8231292517006805</v>
      </c>
      <c r="V15">
        <f t="shared" si="9"/>
        <v>474.17687074829934</v>
      </c>
      <c r="W15">
        <f t="shared" si="18"/>
        <v>65.176870748299336</v>
      </c>
      <c r="X15">
        <f t="shared" si="19"/>
        <v>461.69587074829934</v>
      </c>
      <c r="Y15">
        <f t="shared" si="10"/>
        <v>0.60058151903313495</v>
      </c>
      <c r="Z15">
        <f t="shared" si="11"/>
        <v>978101.05588510365</v>
      </c>
      <c r="AA15">
        <f t="shared" si="12"/>
        <v>142.43317612585034</v>
      </c>
      <c r="AB15" s="7">
        <f t="shared" si="13"/>
        <v>118.80595768893491</v>
      </c>
      <c r="AC15">
        <f t="shared" si="14"/>
        <v>51.589665749479593</v>
      </c>
      <c r="AD15">
        <v>3</v>
      </c>
      <c r="AE15">
        <v>-5</v>
      </c>
      <c r="AF15">
        <v>-6</v>
      </c>
      <c r="AG15">
        <v>-4</v>
      </c>
      <c r="AH15">
        <f t="shared" si="15"/>
        <v>3.8655831353907356E-2</v>
      </c>
      <c r="AI15">
        <f t="shared" si="15"/>
        <v>7.7480378373566541E-2</v>
      </c>
      <c r="AJ15">
        <f t="shared" si="15"/>
        <v>9.6344027617202871E-2</v>
      </c>
      <c r="AK15">
        <f t="shared" si="15"/>
        <v>5.8077564065738108E-2</v>
      </c>
      <c r="AL15">
        <f t="shared" si="16"/>
        <v>0.27055780141041486</v>
      </c>
      <c r="AM15" s="7">
        <f t="shared" si="17"/>
        <v>66.886268221832594</v>
      </c>
    </row>
    <row r="16" spans="1:39" x14ac:dyDescent="0.25">
      <c r="B16">
        <v>18</v>
      </c>
      <c r="C16" s="4">
        <f>(10*36)+39</f>
        <v>399</v>
      </c>
      <c r="D16">
        <v>3468.2570000000001</v>
      </c>
      <c r="E16">
        <v>0</v>
      </c>
      <c r="F16">
        <f t="shared" si="3"/>
        <v>3468.2570000000001</v>
      </c>
      <c r="G16">
        <f t="shared" si="0"/>
        <v>0.25783333333340253</v>
      </c>
      <c r="H16">
        <f t="shared" si="4"/>
        <v>3467.9991666666665</v>
      </c>
      <c r="I16" s="5">
        <f t="shared" si="5"/>
        <v>-16.50383333333366</v>
      </c>
      <c r="J16" s="7">
        <f t="shared" si="6"/>
        <v>978074.90416666667</v>
      </c>
      <c r="K16" s="5">
        <v>6</v>
      </c>
      <c r="L16" s="5">
        <v>38</v>
      </c>
      <c r="M16" s="8">
        <v>8.24</v>
      </c>
      <c r="N16" s="8">
        <v>106</v>
      </c>
      <c r="O16" s="8">
        <v>33</v>
      </c>
      <c r="P16" s="8">
        <v>53.98</v>
      </c>
      <c r="Q16" s="9">
        <f t="shared" si="1"/>
        <v>-6.6356222222222216</v>
      </c>
      <c r="R16">
        <f t="shared" si="7"/>
        <v>106.56499444444444</v>
      </c>
      <c r="S16">
        <f t="shared" si="8"/>
        <v>-0.11581345569628061</v>
      </c>
      <c r="T16">
        <v>493</v>
      </c>
      <c r="U16">
        <f t="shared" si="2"/>
        <v>-9.3095238095238102</v>
      </c>
      <c r="V16">
        <f t="shared" si="9"/>
        <v>502.3095238095238</v>
      </c>
      <c r="W16">
        <f t="shared" si="18"/>
        <v>93.309523809523796</v>
      </c>
      <c r="X16">
        <f t="shared" si="19"/>
        <v>489.8285238095238</v>
      </c>
      <c r="Y16">
        <f t="shared" si="10"/>
        <v>0.63230937709421509</v>
      </c>
      <c r="Z16">
        <f t="shared" si="11"/>
        <v>978101.04699650186</v>
      </c>
      <c r="AA16">
        <f t="shared" si="12"/>
        <v>151.11209959523808</v>
      </c>
      <c r="AB16" s="7">
        <f t="shared" si="13"/>
        <v>124.96926976005602</v>
      </c>
      <c r="AC16">
        <f t="shared" si="14"/>
        <v>54.733194336214282</v>
      </c>
      <c r="AD16">
        <v>5</v>
      </c>
      <c r="AE16">
        <v>4</v>
      </c>
      <c r="AF16">
        <v>-4</v>
      </c>
      <c r="AG16">
        <v>-5</v>
      </c>
      <c r="AH16">
        <f t="shared" si="15"/>
        <v>7.7480378373566541E-2</v>
      </c>
      <c r="AI16">
        <f t="shared" si="15"/>
        <v>5.8077564065738108E-2</v>
      </c>
      <c r="AJ16">
        <f t="shared" si="15"/>
        <v>5.8077564065738108E-2</v>
      </c>
      <c r="AK16">
        <f t="shared" si="15"/>
        <v>7.7480378373566541E-2</v>
      </c>
      <c r="AL16">
        <f t="shared" si="16"/>
        <v>0.27111588487860927</v>
      </c>
      <c r="AM16" s="7">
        <f t="shared" si="17"/>
        <v>69.874881931626135</v>
      </c>
    </row>
    <row r="17" spans="2:39" x14ac:dyDescent="0.25">
      <c r="B17">
        <v>17</v>
      </c>
      <c r="C17" s="4">
        <f>(10*36)+48</f>
        <v>408</v>
      </c>
      <c r="D17">
        <v>3464.2710000000002</v>
      </c>
      <c r="E17">
        <v>0</v>
      </c>
      <c r="F17">
        <f t="shared" si="3"/>
        <v>3464.2710000000002</v>
      </c>
      <c r="G17">
        <f t="shared" si="0"/>
        <v>0.23833333333339729</v>
      </c>
      <c r="H17">
        <f t="shared" si="4"/>
        <v>3464.032666666667</v>
      </c>
      <c r="I17" s="5">
        <f t="shared" si="5"/>
        <v>-20.470333333333201</v>
      </c>
      <c r="J17" s="7">
        <f t="shared" si="6"/>
        <v>978070.93766666669</v>
      </c>
      <c r="K17" s="5">
        <v>6</v>
      </c>
      <c r="L17" s="5">
        <v>38</v>
      </c>
      <c r="M17" s="8">
        <v>6.49</v>
      </c>
      <c r="N17" s="8">
        <v>106</v>
      </c>
      <c r="O17" s="8">
        <v>33</v>
      </c>
      <c r="P17" s="8">
        <v>52.77</v>
      </c>
      <c r="Q17" s="9">
        <f t="shared" si="1"/>
        <v>-6.6351361111111107</v>
      </c>
      <c r="R17">
        <f t="shared" si="7"/>
        <v>106.56465833333333</v>
      </c>
      <c r="S17">
        <f t="shared" si="8"/>
        <v>-0.11580497145686119</v>
      </c>
      <c r="T17">
        <v>512</v>
      </c>
      <c r="U17">
        <f t="shared" si="2"/>
        <v>-8.6054421768707474</v>
      </c>
      <c r="V17">
        <f t="shared" si="9"/>
        <v>520.60544217687072</v>
      </c>
      <c r="W17">
        <f t="shared" si="18"/>
        <v>111.60544217687072</v>
      </c>
      <c r="X17">
        <f t="shared" si="19"/>
        <v>508.12444217687073</v>
      </c>
      <c r="Y17">
        <f t="shared" si="10"/>
        <v>0.65264338545322786</v>
      </c>
      <c r="Z17">
        <f t="shared" si="11"/>
        <v>978101.03689650074</v>
      </c>
      <c r="AA17">
        <f t="shared" si="12"/>
        <v>156.75639041156461</v>
      </c>
      <c r="AB17" s="7">
        <f t="shared" si="13"/>
        <v>126.65716057752212</v>
      </c>
      <c r="AC17">
        <f t="shared" si="14"/>
        <v>56.777571106622446</v>
      </c>
      <c r="AD17">
        <v>5</v>
      </c>
      <c r="AE17">
        <v>6</v>
      </c>
      <c r="AF17">
        <v>-5</v>
      </c>
      <c r="AG17">
        <v>-7</v>
      </c>
      <c r="AH17">
        <f t="shared" si="15"/>
        <v>7.7480378373566541E-2</v>
      </c>
      <c r="AI17">
        <f t="shared" si="15"/>
        <v>9.6344027617202871E-2</v>
      </c>
      <c r="AJ17">
        <f t="shared" si="15"/>
        <v>7.7480378373566541E-2</v>
      </c>
      <c r="AK17">
        <f t="shared" si="15"/>
        <v>0.11443114505672018</v>
      </c>
      <c r="AL17">
        <f t="shared" si="16"/>
        <v>0.36573592942105615</v>
      </c>
      <c r="AM17" s="7">
        <f t="shared" si="17"/>
        <v>69.592682014867492</v>
      </c>
    </row>
    <row r="18" spans="2:39" x14ac:dyDescent="0.25">
      <c r="B18">
        <v>16</v>
      </c>
      <c r="C18" s="4">
        <f>(10*60)+56</f>
        <v>656</v>
      </c>
      <c r="D18">
        <v>3464.4050000000002</v>
      </c>
      <c r="E18">
        <v>0</v>
      </c>
      <c r="F18">
        <f t="shared" si="3"/>
        <v>3464.4050000000002</v>
      </c>
      <c r="G18">
        <f t="shared" si="0"/>
        <v>-0.29900000000008026</v>
      </c>
      <c r="H18">
        <f t="shared" si="4"/>
        <v>3464.7040000000002</v>
      </c>
      <c r="I18" s="5">
        <f t="shared" si="5"/>
        <v>-19.798999999999978</v>
      </c>
      <c r="J18" s="7">
        <f t="shared" si="6"/>
        <v>978071.60900000005</v>
      </c>
      <c r="K18" s="5">
        <v>6</v>
      </c>
      <c r="L18" s="5">
        <v>38</v>
      </c>
      <c r="M18" s="8">
        <v>5.01</v>
      </c>
      <c r="N18" s="8">
        <v>106</v>
      </c>
      <c r="O18" s="8">
        <v>33</v>
      </c>
      <c r="P18" s="8">
        <v>52.58</v>
      </c>
      <c r="Q18" s="9">
        <f t="shared" si="1"/>
        <v>-6.6347249999999995</v>
      </c>
      <c r="R18">
        <f t="shared" si="7"/>
        <v>106.56460555555556</v>
      </c>
      <c r="S18">
        <f t="shared" si="8"/>
        <v>-0.11579779621438077</v>
      </c>
      <c r="T18">
        <v>512</v>
      </c>
      <c r="U18">
        <f t="shared" si="2"/>
        <v>10.795918367346939</v>
      </c>
      <c r="V18">
        <f t="shared" si="9"/>
        <v>501.20408163265307</v>
      </c>
      <c r="W18">
        <f t="shared" si="18"/>
        <v>92.204081632653072</v>
      </c>
      <c r="X18">
        <f t="shared" si="19"/>
        <v>488.72308163265308</v>
      </c>
      <c r="Y18">
        <f t="shared" si="10"/>
        <v>0.63107321799560911</v>
      </c>
      <c r="Z18">
        <f t="shared" si="11"/>
        <v>978101.02835535281</v>
      </c>
      <c r="AA18">
        <f t="shared" si="12"/>
        <v>150.77107068367349</v>
      </c>
      <c r="AB18" s="7">
        <f t="shared" si="13"/>
        <v>121.35171533091506</v>
      </c>
      <c r="AC18">
        <f t="shared" si="14"/>
        <v>54.609672780091834</v>
      </c>
      <c r="AD18">
        <v>5</v>
      </c>
      <c r="AE18">
        <v>6</v>
      </c>
      <c r="AF18">
        <v>5</v>
      </c>
      <c r="AG18">
        <v>-6</v>
      </c>
      <c r="AH18">
        <f t="shared" si="15"/>
        <v>7.7480378373566541E-2</v>
      </c>
      <c r="AI18">
        <f t="shared" si="15"/>
        <v>9.6344027617202871E-2</v>
      </c>
      <c r="AJ18">
        <f t="shared" si="15"/>
        <v>7.7480378373566541E-2</v>
      </c>
      <c r="AK18">
        <f t="shared" si="15"/>
        <v>9.6344027617202871E-2</v>
      </c>
      <c r="AL18">
        <f t="shared" si="16"/>
        <v>0.34764881198153885</v>
      </c>
      <c r="AM18" s="7">
        <f t="shared" si="17"/>
        <v>66.458618144809151</v>
      </c>
    </row>
    <row r="19" spans="2:39" x14ac:dyDescent="0.25">
      <c r="B19">
        <v>15</v>
      </c>
      <c r="C19" s="4">
        <f>(11*60)+19</f>
        <v>679</v>
      </c>
      <c r="D19">
        <v>3460.701</v>
      </c>
      <c r="E19">
        <v>0</v>
      </c>
      <c r="F19">
        <f t="shared" si="3"/>
        <v>3460.701</v>
      </c>
      <c r="G19">
        <f t="shared" si="0"/>
        <v>-0.34883333333342698</v>
      </c>
      <c r="H19">
        <f t="shared" si="4"/>
        <v>3461.0498333333335</v>
      </c>
      <c r="I19" s="5">
        <f t="shared" si="5"/>
        <v>-23.453166666666675</v>
      </c>
      <c r="J19" s="7">
        <f t="shared" si="6"/>
        <v>978067.95483333338</v>
      </c>
      <c r="K19" s="5">
        <v>6</v>
      </c>
      <c r="L19" s="5">
        <v>38</v>
      </c>
      <c r="M19" s="8">
        <v>3.22</v>
      </c>
      <c r="N19" s="8">
        <v>106</v>
      </c>
      <c r="O19" s="8">
        <v>33</v>
      </c>
      <c r="P19" s="8">
        <v>52</v>
      </c>
      <c r="Q19" s="9">
        <f t="shared" si="1"/>
        <v>-6.6342277777777774</v>
      </c>
      <c r="R19">
        <f t="shared" si="7"/>
        <v>106.56444444444445</v>
      </c>
      <c r="S19">
        <f t="shared" si="8"/>
        <v>-0.11578911804948891</v>
      </c>
      <c r="T19">
        <v>535</v>
      </c>
      <c r="U19">
        <f t="shared" si="2"/>
        <v>12.595238095238095</v>
      </c>
      <c r="V19">
        <f t="shared" si="9"/>
        <v>522.40476190476193</v>
      </c>
      <c r="W19">
        <f t="shared" si="18"/>
        <v>113.40476190476193</v>
      </c>
      <c r="X19">
        <f t="shared" si="19"/>
        <v>509.92376190476193</v>
      </c>
      <c r="Y19">
        <f t="shared" si="10"/>
        <v>0.65463037093027299</v>
      </c>
      <c r="Z19">
        <f t="shared" si="11"/>
        <v>978101.01802587498</v>
      </c>
      <c r="AA19">
        <f t="shared" si="12"/>
        <v>157.31148054761906</v>
      </c>
      <c r="AB19" s="7">
        <f t="shared" si="13"/>
        <v>124.24828800602444</v>
      </c>
      <c r="AC19">
        <f t="shared" si="14"/>
        <v>56.978626193357144</v>
      </c>
      <c r="AD19">
        <v>5</v>
      </c>
      <c r="AE19">
        <v>4</v>
      </c>
      <c r="AF19">
        <v>-4</v>
      </c>
      <c r="AG19">
        <v>-6</v>
      </c>
      <c r="AH19">
        <f t="shared" si="15"/>
        <v>7.7480378373566541E-2</v>
      </c>
      <c r="AI19">
        <f t="shared" si="15"/>
        <v>5.8077564065738108E-2</v>
      </c>
      <c r="AJ19">
        <f t="shared" si="15"/>
        <v>5.8077564065738108E-2</v>
      </c>
      <c r="AK19">
        <f t="shared" si="15"/>
        <v>9.6344027617202871E-2</v>
      </c>
      <c r="AL19">
        <f t="shared" si="16"/>
        <v>0.28997953412224564</v>
      </c>
      <c r="AM19" s="7">
        <f t="shared" si="17"/>
        <v>66.905010975859255</v>
      </c>
    </row>
    <row r="20" spans="2:39" x14ac:dyDescent="0.25">
      <c r="B20">
        <v>14</v>
      </c>
      <c r="C20" s="4">
        <f>(11*60)+26</f>
        <v>686</v>
      </c>
      <c r="D20">
        <v>3464.17</v>
      </c>
      <c r="E20">
        <v>0</v>
      </c>
      <c r="F20">
        <f t="shared" si="3"/>
        <v>3464.17</v>
      </c>
      <c r="G20">
        <f t="shared" si="0"/>
        <v>-0.36400000000009769</v>
      </c>
      <c r="H20">
        <f t="shared" si="4"/>
        <v>3464.5340000000001</v>
      </c>
      <c r="I20" s="5">
        <f t="shared" si="5"/>
        <v>-19.969000000000051</v>
      </c>
      <c r="J20" s="7">
        <f t="shared" si="6"/>
        <v>978071.43900000001</v>
      </c>
      <c r="K20" s="5">
        <v>6</v>
      </c>
      <c r="L20" s="5">
        <v>38</v>
      </c>
      <c r="M20" s="8">
        <v>1.62</v>
      </c>
      <c r="N20" s="8">
        <v>106</v>
      </c>
      <c r="O20" s="8">
        <v>33</v>
      </c>
      <c r="P20" s="8">
        <v>50.85</v>
      </c>
      <c r="Q20" s="9">
        <f t="shared" si="1"/>
        <v>-6.6337833333333327</v>
      </c>
      <c r="R20">
        <f t="shared" si="7"/>
        <v>106.564125</v>
      </c>
      <c r="S20">
        <f t="shared" si="8"/>
        <v>-0.11578136103059115</v>
      </c>
      <c r="T20">
        <v>520</v>
      </c>
      <c r="U20">
        <f t="shared" si="2"/>
        <v>13.142857142857142</v>
      </c>
      <c r="V20">
        <f t="shared" si="9"/>
        <v>506.85714285714283</v>
      </c>
      <c r="W20">
        <f t="shared" si="18"/>
        <v>97.857142857142833</v>
      </c>
      <c r="X20">
        <f t="shared" si="19"/>
        <v>494.37614285714284</v>
      </c>
      <c r="Y20">
        <f t="shared" si="10"/>
        <v>0.63738566525207008</v>
      </c>
      <c r="Z20">
        <f t="shared" si="11"/>
        <v>978101.00879346579</v>
      </c>
      <c r="AA20">
        <f t="shared" si="12"/>
        <v>152.51504007142856</v>
      </c>
      <c r="AB20" s="7">
        <f t="shared" si="13"/>
        <v>122.94524660564846</v>
      </c>
      <c r="AC20">
        <f t="shared" si="14"/>
        <v>55.241343014785706</v>
      </c>
      <c r="AD20">
        <v>-3</v>
      </c>
      <c r="AE20">
        <v>3</v>
      </c>
      <c r="AF20">
        <v>2</v>
      </c>
      <c r="AG20">
        <v>-4</v>
      </c>
      <c r="AH20">
        <f t="shared" si="15"/>
        <v>3.8655831353907356E-2</v>
      </c>
      <c r="AI20">
        <f t="shared" si="15"/>
        <v>3.8655831353907356E-2</v>
      </c>
      <c r="AJ20">
        <f t="shared" si="15"/>
        <v>2.0384653162369731E-2</v>
      </c>
      <c r="AK20">
        <f t="shared" si="15"/>
        <v>5.8077564065738108E-2</v>
      </c>
      <c r="AL20">
        <f t="shared" si="16"/>
        <v>0.15577387993592257</v>
      </c>
      <c r="AM20" s="7">
        <f t="shared" si="17"/>
        <v>67.222291805546604</v>
      </c>
    </row>
    <row r="21" spans="2:39" x14ac:dyDescent="0.25">
      <c r="B21">
        <v>13</v>
      </c>
      <c r="C21" s="4">
        <f>(11*60)+33</f>
        <v>693</v>
      </c>
      <c r="D21">
        <v>3463.2510000000002</v>
      </c>
      <c r="E21">
        <v>0</v>
      </c>
      <c r="F21">
        <f t="shared" si="3"/>
        <v>3463.2510000000002</v>
      </c>
      <c r="G21">
        <f t="shared" si="0"/>
        <v>-0.3791666666667684</v>
      </c>
      <c r="H21">
        <f t="shared" si="4"/>
        <v>3463.6301666666668</v>
      </c>
      <c r="I21" s="5">
        <f t="shared" si="5"/>
        <v>-20.872833333333347</v>
      </c>
      <c r="J21" s="7">
        <f t="shared" si="6"/>
        <v>978070.53516666673</v>
      </c>
      <c r="K21" s="5">
        <v>6</v>
      </c>
      <c r="L21" s="5">
        <v>37</v>
      </c>
      <c r="M21" s="8">
        <v>58.59</v>
      </c>
      <c r="N21" s="8">
        <v>106</v>
      </c>
      <c r="O21" s="8">
        <v>33</v>
      </c>
      <c r="P21" s="8">
        <v>50.14</v>
      </c>
      <c r="Q21" s="9">
        <f t="shared" si="1"/>
        <v>-6.6329416666666674</v>
      </c>
      <c r="R21">
        <f t="shared" si="7"/>
        <v>106.56392777777778</v>
      </c>
      <c r="S21">
        <f t="shared" si="8"/>
        <v>-0.11576667117605356</v>
      </c>
      <c r="T21">
        <v>525</v>
      </c>
      <c r="U21">
        <f t="shared" si="2"/>
        <v>13.69047619047619</v>
      </c>
      <c r="V21">
        <f t="shared" si="9"/>
        <v>511.3095238095238</v>
      </c>
      <c r="W21">
        <f t="shared" si="18"/>
        <v>102.3095238095238</v>
      </c>
      <c r="X21">
        <f t="shared" si="19"/>
        <v>498.8285238095238</v>
      </c>
      <c r="Y21">
        <f t="shared" si="10"/>
        <v>0.64234149028029819</v>
      </c>
      <c r="Z21">
        <f t="shared" si="11"/>
        <v>978100.99131125526</v>
      </c>
      <c r="AA21">
        <f t="shared" si="12"/>
        <v>153.88859959523811</v>
      </c>
      <c r="AB21" s="7">
        <f t="shared" si="13"/>
        <v>123.43245500670432</v>
      </c>
      <c r="AC21">
        <f t="shared" si="14"/>
        <v>55.738849836214278</v>
      </c>
      <c r="AD21">
        <v>3</v>
      </c>
      <c r="AE21">
        <v>3</v>
      </c>
      <c r="AF21">
        <v>-3</v>
      </c>
      <c r="AG21">
        <v>-4</v>
      </c>
      <c r="AH21">
        <f t="shared" si="15"/>
        <v>3.8655831353907356E-2</v>
      </c>
      <c r="AI21">
        <f t="shared" si="15"/>
        <v>3.8655831353907356E-2</v>
      </c>
      <c r="AJ21">
        <f t="shared" si="15"/>
        <v>3.8655831353907356E-2</v>
      </c>
      <c r="AK21">
        <f t="shared" si="15"/>
        <v>5.8077564065738108E-2</v>
      </c>
      <c r="AL21">
        <f t="shared" si="16"/>
        <v>0.17404505812746018</v>
      </c>
      <c r="AM21" s="7">
        <f t="shared" si="17"/>
        <v>67.225308738337191</v>
      </c>
    </row>
    <row r="22" spans="2:39" x14ac:dyDescent="0.25">
      <c r="B22">
        <v>12</v>
      </c>
      <c r="C22" s="4">
        <f>(11*60)+42</f>
        <v>702</v>
      </c>
      <c r="D22">
        <v>3457.491</v>
      </c>
      <c r="E22">
        <v>0</v>
      </c>
      <c r="F22">
        <f t="shared" si="3"/>
        <v>3457.491</v>
      </c>
      <c r="G22">
        <f t="shared" si="0"/>
        <v>-0.39866666666677364</v>
      </c>
      <c r="H22">
        <f t="shared" si="4"/>
        <v>3457.8896666666669</v>
      </c>
      <c r="I22" s="5">
        <f t="shared" si="5"/>
        <v>-26.61333333333323</v>
      </c>
      <c r="J22" s="7">
        <f t="shared" si="6"/>
        <v>978064.79466666677</v>
      </c>
      <c r="K22" s="5">
        <v>6</v>
      </c>
      <c r="L22" s="5">
        <v>37</v>
      </c>
      <c r="M22" s="8">
        <v>58.38</v>
      </c>
      <c r="N22" s="8">
        <v>106</v>
      </c>
      <c r="O22" s="8">
        <v>33</v>
      </c>
      <c r="P22" s="8">
        <v>49.39</v>
      </c>
      <c r="Q22" s="9">
        <f t="shared" si="1"/>
        <v>-6.6328833333333339</v>
      </c>
      <c r="R22">
        <f t="shared" si="7"/>
        <v>106.56371944444444</v>
      </c>
      <c r="S22">
        <f t="shared" si="8"/>
        <v>-0.11576565306732323</v>
      </c>
      <c r="T22">
        <v>549</v>
      </c>
      <c r="U22">
        <f t="shared" si="2"/>
        <v>14.394557823129253</v>
      </c>
      <c r="V22">
        <f t="shared" si="9"/>
        <v>534.60544217687072</v>
      </c>
      <c r="W22">
        <f t="shared" si="18"/>
        <v>125.60544217687072</v>
      </c>
      <c r="X22">
        <f t="shared" si="19"/>
        <v>522.12444217687073</v>
      </c>
      <c r="Y22">
        <f t="shared" si="10"/>
        <v>0.66804322944416594</v>
      </c>
      <c r="Z22">
        <f t="shared" si="11"/>
        <v>978100.99009969749</v>
      </c>
      <c r="AA22">
        <f t="shared" si="12"/>
        <v>161.07539041156463</v>
      </c>
      <c r="AB22" s="7">
        <f t="shared" si="13"/>
        <v>124.87995738084476</v>
      </c>
      <c r="AC22">
        <f t="shared" si="14"/>
        <v>58.341924106622443</v>
      </c>
      <c r="AD22">
        <v>5</v>
      </c>
      <c r="AE22">
        <v>4</v>
      </c>
      <c r="AF22">
        <v>-6</v>
      </c>
      <c r="AG22">
        <v>3</v>
      </c>
      <c r="AH22">
        <f t="shared" si="15"/>
        <v>7.7480378373566541E-2</v>
      </c>
      <c r="AI22">
        <f t="shared" si="15"/>
        <v>5.8077564065738108E-2</v>
      </c>
      <c r="AJ22">
        <f t="shared" si="15"/>
        <v>9.6344027617202871E-2</v>
      </c>
      <c r="AK22">
        <f t="shared" si="15"/>
        <v>3.8655831353907356E-2</v>
      </c>
      <c r="AL22">
        <f t="shared" si="16"/>
        <v>0.27055780141041486</v>
      </c>
      <c r="AM22" s="7">
        <f t="shared" si="17"/>
        <v>66.140547846188568</v>
      </c>
    </row>
    <row r="23" spans="2:39" x14ac:dyDescent="0.25">
      <c r="B23">
        <v>11</v>
      </c>
      <c r="C23" s="4">
        <f>(11*60)+51</f>
        <v>711</v>
      </c>
      <c r="D23">
        <v>3452.48</v>
      </c>
      <c r="E23">
        <v>0</v>
      </c>
      <c r="F23">
        <f t="shared" si="3"/>
        <v>3452.48</v>
      </c>
      <c r="G23">
        <f t="shared" si="0"/>
        <v>-0.41816666666677887</v>
      </c>
      <c r="H23">
        <f t="shared" si="4"/>
        <v>3452.8981666666668</v>
      </c>
      <c r="I23" s="5">
        <f t="shared" si="5"/>
        <v>-31.604833333333318</v>
      </c>
      <c r="J23" s="7">
        <f t="shared" si="6"/>
        <v>978059.80316666677</v>
      </c>
      <c r="K23" s="5">
        <v>6</v>
      </c>
      <c r="L23" s="5">
        <v>37</v>
      </c>
      <c r="M23" s="8">
        <v>57.02</v>
      </c>
      <c r="N23" s="8">
        <v>106</v>
      </c>
      <c r="O23" s="8">
        <v>33</v>
      </c>
      <c r="P23" s="8">
        <v>48.82</v>
      </c>
      <c r="Q23" s="9">
        <f t="shared" si="1"/>
        <v>-6.6325055555555563</v>
      </c>
      <c r="R23">
        <f t="shared" si="7"/>
        <v>106.56356111111111</v>
      </c>
      <c r="S23">
        <f t="shared" si="8"/>
        <v>-0.11575905960126014</v>
      </c>
      <c r="T23">
        <v>570</v>
      </c>
      <c r="U23">
        <f t="shared" si="2"/>
        <v>15.098639455782314</v>
      </c>
      <c r="V23">
        <f t="shared" si="9"/>
        <v>554.90136054421771</v>
      </c>
      <c r="W23">
        <f t="shared" si="18"/>
        <v>145.90136054421771</v>
      </c>
      <c r="X23">
        <f t="shared" si="19"/>
        <v>542.42036054421771</v>
      </c>
      <c r="Y23">
        <f t="shared" si="10"/>
        <v>0.69012266185943427</v>
      </c>
      <c r="Z23">
        <f t="shared" si="11"/>
        <v>978100.98225367279</v>
      </c>
      <c r="AA23">
        <f t="shared" si="12"/>
        <v>167.33668122789118</v>
      </c>
      <c r="AB23" s="7">
        <f t="shared" si="13"/>
        <v>126.15759422186989</v>
      </c>
      <c r="AC23">
        <f t="shared" si="14"/>
        <v>60.609779877030611</v>
      </c>
      <c r="AD23">
        <v>6</v>
      </c>
      <c r="AE23">
        <v>5</v>
      </c>
      <c r="AF23">
        <v>-5</v>
      </c>
      <c r="AG23">
        <v>-9</v>
      </c>
      <c r="AH23">
        <f t="shared" si="15"/>
        <v>9.6344027617202871E-2</v>
      </c>
      <c r="AI23">
        <f t="shared" si="15"/>
        <v>7.7480378373566541E-2</v>
      </c>
      <c r="AJ23">
        <f t="shared" si="15"/>
        <v>7.7480378373566541E-2</v>
      </c>
      <c r="AK23">
        <f t="shared" si="15"/>
        <v>0.14792671082541906</v>
      </c>
      <c r="AL23">
        <f t="shared" si="16"/>
        <v>0.39923149518975498</v>
      </c>
      <c r="AM23" s="7">
        <f t="shared" si="17"/>
        <v>65.2569231781696</v>
      </c>
    </row>
    <row r="24" spans="2:39" x14ac:dyDescent="0.25">
      <c r="B24">
        <v>10</v>
      </c>
      <c r="C24" s="4">
        <f>(11*60)+58</f>
        <v>718</v>
      </c>
      <c r="D24">
        <v>3450.6819999999998</v>
      </c>
      <c r="E24">
        <v>0</v>
      </c>
      <c r="F24">
        <f t="shared" si="3"/>
        <v>3450.6819999999998</v>
      </c>
      <c r="G24">
        <f t="shared" si="0"/>
        <v>-0.43333333333344964</v>
      </c>
      <c r="H24">
        <f t="shared" si="4"/>
        <v>3451.1153333333332</v>
      </c>
      <c r="I24" s="5">
        <f t="shared" si="5"/>
        <v>-33.387666666666973</v>
      </c>
      <c r="J24" s="7">
        <f t="shared" si="6"/>
        <v>978058.02033333341</v>
      </c>
      <c r="K24" s="5">
        <v>6</v>
      </c>
      <c r="L24" s="5">
        <v>37</v>
      </c>
      <c r="M24" s="8">
        <v>55.33</v>
      </c>
      <c r="N24" s="8">
        <v>106</v>
      </c>
      <c r="O24" s="8">
        <v>33</v>
      </c>
      <c r="P24" s="8">
        <v>47.75</v>
      </c>
      <c r="Q24" s="9">
        <f t="shared" si="1"/>
        <v>-6.6320361111111117</v>
      </c>
      <c r="R24">
        <f t="shared" si="7"/>
        <v>106.56326388888888</v>
      </c>
      <c r="S24">
        <f t="shared" si="8"/>
        <v>-0.11575086625004939</v>
      </c>
      <c r="T24">
        <v>576</v>
      </c>
      <c r="U24">
        <f t="shared" si="2"/>
        <v>15.646258503401361</v>
      </c>
      <c r="V24">
        <f t="shared" si="9"/>
        <v>560.35374149659867</v>
      </c>
      <c r="W24">
        <f t="shared" si="18"/>
        <v>151.35374149659867</v>
      </c>
      <c r="X24">
        <f t="shared" si="19"/>
        <v>547.87274149659868</v>
      </c>
      <c r="Y24">
        <f t="shared" si="10"/>
        <v>0.69600458805854237</v>
      </c>
      <c r="Z24">
        <f t="shared" si="11"/>
        <v>978100.97250444489</v>
      </c>
      <c r="AA24">
        <f t="shared" si="12"/>
        <v>169.01874075170068</v>
      </c>
      <c r="AB24" s="7">
        <f t="shared" si="13"/>
        <v>126.06656964022127</v>
      </c>
      <c r="AC24">
        <f t="shared" si="14"/>
        <v>61.219026198459183</v>
      </c>
      <c r="AD24">
        <v>-7</v>
      </c>
      <c r="AE24">
        <v>4</v>
      </c>
      <c r="AF24">
        <v>8</v>
      </c>
      <c r="AG24">
        <v>-5</v>
      </c>
      <c r="AH24">
        <f t="shared" si="15"/>
        <v>0.11443114505672018</v>
      </c>
      <c r="AI24">
        <f t="shared" si="15"/>
        <v>5.8077564065738108E-2</v>
      </c>
      <c r="AJ24">
        <f t="shared" si="15"/>
        <v>0.13163746491855549</v>
      </c>
      <c r="AK24">
        <f t="shared" si="15"/>
        <v>7.7480378373566541E-2</v>
      </c>
      <c r="AL24">
        <f t="shared" si="16"/>
        <v>0.38162655241458032</v>
      </c>
      <c r="AM24" s="7">
        <f t="shared" si="17"/>
        <v>64.53316540611813</v>
      </c>
    </row>
    <row r="25" spans="2:39" x14ac:dyDescent="0.25">
      <c r="B25">
        <v>9</v>
      </c>
      <c r="C25" s="4">
        <f>(12*60)+48</f>
        <v>768</v>
      </c>
      <c r="D25">
        <v>3459.6350000000002</v>
      </c>
      <c r="E25">
        <v>0</v>
      </c>
      <c r="F25">
        <f t="shared" si="3"/>
        <v>3459.6350000000002</v>
      </c>
      <c r="G25">
        <f t="shared" si="0"/>
        <v>-0.54166666666681207</v>
      </c>
      <c r="H25">
        <f t="shared" si="4"/>
        <v>3460.1766666666672</v>
      </c>
      <c r="I25" s="5">
        <f t="shared" si="5"/>
        <v>-24.326333333332968</v>
      </c>
      <c r="J25" s="7">
        <f t="shared" si="6"/>
        <v>978067.08166666667</v>
      </c>
      <c r="K25" s="5">
        <v>6</v>
      </c>
      <c r="L25" s="5">
        <v>37</v>
      </c>
      <c r="M25" s="8">
        <v>53.82</v>
      </c>
      <c r="N25" s="8">
        <v>106</v>
      </c>
      <c r="O25" s="8">
        <v>33</v>
      </c>
      <c r="P25" s="8">
        <v>46.15</v>
      </c>
      <c r="Q25" s="9">
        <f t="shared" si="1"/>
        <v>-6.6316166666666669</v>
      </c>
      <c r="R25">
        <f t="shared" si="7"/>
        <v>106.56281944444444</v>
      </c>
      <c r="S25">
        <f t="shared" si="8"/>
        <v>-0.11574354556346463</v>
      </c>
      <c r="T25">
        <v>546</v>
      </c>
      <c r="U25">
        <f t="shared" si="2"/>
        <v>19.557823129251702</v>
      </c>
      <c r="V25">
        <f t="shared" si="9"/>
        <v>526.44217687074831</v>
      </c>
      <c r="W25">
        <f t="shared" si="18"/>
        <v>117.44217687074831</v>
      </c>
      <c r="X25">
        <f t="shared" si="19"/>
        <v>513.96117687074832</v>
      </c>
      <c r="Y25">
        <f t="shared" si="10"/>
        <v>0.65908055753821837</v>
      </c>
      <c r="Z25">
        <f t="shared" si="11"/>
        <v>978100.96379416937</v>
      </c>
      <c r="AA25">
        <f t="shared" si="12"/>
        <v>158.55702306462587</v>
      </c>
      <c r="AB25" s="7">
        <f t="shared" si="13"/>
        <v>124.67489556192555</v>
      </c>
      <c r="AC25">
        <f t="shared" si="14"/>
        <v>57.429764922948976</v>
      </c>
      <c r="AD25">
        <v>-11</v>
      </c>
      <c r="AE25">
        <v>10</v>
      </c>
      <c r="AF25">
        <v>9</v>
      </c>
      <c r="AG25">
        <v>-12</v>
      </c>
      <c r="AH25">
        <f t="shared" si="15"/>
        <v>0.1777782835559025</v>
      </c>
      <c r="AI25">
        <f t="shared" si="15"/>
        <v>0.1632996872780062</v>
      </c>
      <c r="AJ25">
        <f t="shared" si="15"/>
        <v>0.14792671082541906</v>
      </c>
      <c r="AK25">
        <f t="shared" si="15"/>
        <v>0.19139653340818508</v>
      </c>
      <c r="AL25">
        <f t="shared" si="16"/>
        <v>0.68040121506751283</v>
      </c>
      <c r="AM25" s="7">
        <f t="shared" si="17"/>
        <v>67.266451296505878</v>
      </c>
    </row>
    <row r="26" spans="2:39" x14ac:dyDescent="0.25">
      <c r="B26">
        <v>8</v>
      </c>
      <c r="C26" s="4">
        <f>(12*60)+59</f>
        <v>779</v>
      </c>
      <c r="D26">
        <v>3467.0520000000001</v>
      </c>
      <c r="E26">
        <v>0</v>
      </c>
      <c r="F26">
        <f t="shared" si="3"/>
        <v>3467.0520000000001</v>
      </c>
      <c r="G26">
        <f t="shared" si="0"/>
        <v>-0.56550000000015177</v>
      </c>
      <c r="H26">
        <f t="shared" si="4"/>
        <v>3467.6175000000003</v>
      </c>
      <c r="I26" s="5">
        <f t="shared" si="5"/>
        <v>-16.885499999999865</v>
      </c>
      <c r="J26" s="7">
        <f t="shared" si="6"/>
        <v>978074.52250000008</v>
      </c>
      <c r="K26" s="5">
        <v>6</v>
      </c>
      <c r="L26" s="5">
        <v>37</v>
      </c>
      <c r="M26" s="8">
        <v>50.98</v>
      </c>
      <c r="N26" s="8">
        <v>106</v>
      </c>
      <c r="O26" s="8">
        <v>33</v>
      </c>
      <c r="P26" s="8">
        <v>46.02</v>
      </c>
      <c r="Q26" s="9">
        <f t="shared" si="1"/>
        <v>-6.6308277777777782</v>
      </c>
      <c r="R26">
        <f t="shared" si="7"/>
        <v>106.56278333333333</v>
      </c>
      <c r="S26">
        <f t="shared" si="8"/>
        <v>-0.11572977685492113</v>
      </c>
      <c r="T26">
        <v>508</v>
      </c>
      <c r="U26">
        <f t="shared" si="2"/>
        <v>20.418367346938776</v>
      </c>
      <c r="V26">
        <f t="shared" si="9"/>
        <v>487.58163265306121</v>
      </c>
      <c r="W26">
        <f t="shared" si="18"/>
        <v>78.581632653061206</v>
      </c>
      <c r="X26">
        <f t="shared" si="19"/>
        <v>475.10063265306121</v>
      </c>
      <c r="Y26">
        <f t="shared" si="10"/>
        <v>0.61576907056463337</v>
      </c>
      <c r="Z26">
        <f t="shared" si="11"/>
        <v>978100.94741339516</v>
      </c>
      <c r="AA26">
        <f t="shared" si="12"/>
        <v>146.56854517346937</v>
      </c>
      <c r="AB26" s="7">
        <f t="shared" si="13"/>
        <v>120.14363177838959</v>
      </c>
      <c r="AC26">
        <f t="shared" si="14"/>
        <v>53.087507142336726</v>
      </c>
      <c r="AD26">
        <v>-4</v>
      </c>
      <c r="AE26">
        <v>5</v>
      </c>
      <c r="AF26">
        <v>5</v>
      </c>
      <c r="AG26">
        <v>-5</v>
      </c>
      <c r="AH26">
        <f t="shared" si="15"/>
        <v>5.8077564065738108E-2</v>
      </c>
      <c r="AI26">
        <f t="shared" si="15"/>
        <v>7.7480378373566541E-2</v>
      </c>
      <c r="AJ26">
        <f t="shared" si="15"/>
        <v>7.7480378373566541E-2</v>
      </c>
      <c r="AK26">
        <f t="shared" si="15"/>
        <v>7.7480378373566541E-2</v>
      </c>
      <c r="AL26">
        <f t="shared" si="16"/>
        <v>0.29051869918643769</v>
      </c>
      <c r="AM26" s="7">
        <f t="shared" si="17"/>
        <v>66.730874264674654</v>
      </c>
    </row>
    <row r="27" spans="2:39" x14ac:dyDescent="0.25">
      <c r="B27">
        <v>7</v>
      </c>
      <c r="C27" s="4">
        <f>(13*60)+5</f>
        <v>785</v>
      </c>
      <c r="D27">
        <v>3467.5279999999998</v>
      </c>
      <c r="E27">
        <v>0</v>
      </c>
      <c r="F27">
        <f t="shared" si="3"/>
        <v>3467.5279999999998</v>
      </c>
      <c r="G27">
        <f t="shared" si="0"/>
        <v>-0.57850000000015522</v>
      </c>
      <c r="H27">
        <f t="shared" si="4"/>
        <v>3468.1064999999999</v>
      </c>
      <c r="I27" s="5">
        <f t="shared" si="5"/>
        <v>-16.396500000000287</v>
      </c>
      <c r="J27" s="7">
        <f t="shared" si="6"/>
        <v>978075.01150000002</v>
      </c>
      <c r="K27" s="5">
        <v>6</v>
      </c>
      <c r="L27" s="5">
        <v>37</v>
      </c>
      <c r="M27" s="8">
        <v>50.08</v>
      </c>
      <c r="N27" s="8">
        <v>106</v>
      </c>
      <c r="O27" s="8">
        <v>33</v>
      </c>
      <c r="P27" s="8">
        <v>44.84</v>
      </c>
      <c r="Q27" s="9">
        <f t="shared" si="1"/>
        <v>-6.6305777777777779</v>
      </c>
      <c r="R27">
        <f t="shared" si="7"/>
        <v>106.56245555555556</v>
      </c>
      <c r="S27">
        <f t="shared" si="8"/>
        <v>-0.11572541353179112</v>
      </c>
      <c r="T27">
        <v>507</v>
      </c>
      <c r="U27">
        <f t="shared" si="2"/>
        <v>20.887755102040817</v>
      </c>
      <c r="V27">
        <f t="shared" si="9"/>
        <v>486.11224489795916</v>
      </c>
      <c r="W27">
        <f t="shared" si="18"/>
        <v>77.112244897959158</v>
      </c>
      <c r="X27">
        <f t="shared" si="19"/>
        <v>473.63124489795916</v>
      </c>
      <c r="Y27">
        <f t="shared" si="10"/>
        <v>0.61411045348737814</v>
      </c>
      <c r="Z27">
        <f t="shared" si="11"/>
        <v>978100.94222270418</v>
      </c>
      <c r="AA27">
        <f t="shared" si="12"/>
        <v>146.11523905102041</v>
      </c>
      <c r="AB27" s="7">
        <f t="shared" si="13"/>
        <v>120.18451634686318</v>
      </c>
      <c r="AC27">
        <f t="shared" si="14"/>
        <v>52.923318489275502</v>
      </c>
      <c r="AD27">
        <v>8</v>
      </c>
      <c r="AE27">
        <v>-4</v>
      </c>
      <c r="AF27">
        <v>-5</v>
      </c>
      <c r="AG27">
        <v>7</v>
      </c>
      <c r="AH27">
        <f t="shared" si="15"/>
        <v>0.13163746491855549</v>
      </c>
      <c r="AI27">
        <f t="shared" si="15"/>
        <v>5.8077564065738108E-2</v>
      </c>
      <c r="AJ27">
        <f t="shared" si="15"/>
        <v>7.7480378373566541E-2</v>
      </c>
      <c r="AK27">
        <f t="shared" si="15"/>
        <v>0.11443114505672018</v>
      </c>
      <c r="AL27">
        <f t="shared" si="16"/>
        <v>0.38162655241458032</v>
      </c>
      <c r="AM27" s="7">
        <f t="shared" si="17"/>
        <v>67.028713956514864</v>
      </c>
    </row>
    <row r="28" spans="2:39" x14ac:dyDescent="0.25">
      <c r="B28" s="2" t="s">
        <v>3</v>
      </c>
      <c r="C28" s="4">
        <f>(13*60)+32</f>
        <v>812</v>
      </c>
      <c r="D28">
        <v>3483.866</v>
      </c>
      <c r="E28">
        <v>0</v>
      </c>
      <c r="F28">
        <f t="shared" si="3"/>
        <v>3483.866</v>
      </c>
      <c r="G28">
        <f t="shared" si="0"/>
        <v>-0.63700000000017099</v>
      </c>
      <c r="H28">
        <f t="shared" si="4"/>
        <v>3484.5030000000002</v>
      </c>
      <c r="I28" s="5">
        <f t="shared" si="5"/>
        <v>0</v>
      </c>
      <c r="J28" s="7">
        <f t="shared" si="6"/>
        <v>978091.40800000005</v>
      </c>
      <c r="K28" s="5">
        <v>6</v>
      </c>
      <c r="L28" s="5">
        <v>38</v>
      </c>
      <c r="M28" s="8">
        <v>26.38</v>
      </c>
      <c r="N28" s="8">
        <v>106</v>
      </c>
      <c r="O28" s="8">
        <v>33</v>
      </c>
      <c r="P28" s="8">
        <v>47.22</v>
      </c>
      <c r="Q28" s="9">
        <f t="shared" si="1"/>
        <v>-6.6406611111111102</v>
      </c>
      <c r="R28">
        <f t="shared" si="7"/>
        <v>106.56311666666666</v>
      </c>
      <c r="S28">
        <f t="shared" si="8"/>
        <v>-0.11590140089803387</v>
      </c>
      <c r="T28">
        <v>432</v>
      </c>
      <c r="U28">
        <f t="shared" si="2"/>
        <v>23</v>
      </c>
      <c r="V28">
        <f t="shared" si="9"/>
        <v>409</v>
      </c>
      <c r="W28">
        <f t="shared" si="18"/>
        <v>0</v>
      </c>
      <c r="X28">
        <v>396.51900000000001</v>
      </c>
      <c r="Y28">
        <f t="shared" si="10"/>
        <v>0.52492729067563015</v>
      </c>
      <c r="Z28">
        <f t="shared" si="11"/>
        <v>978101.15173302987</v>
      </c>
      <c r="AA28">
        <f t="shared" si="12"/>
        <v>122.3261115</v>
      </c>
      <c r="AB28" s="7">
        <f t="shared" si="13"/>
        <v>112.58237847018742</v>
      </c>
      <c r="AC28">
        <f t="shared" si="14"/>
        <v>44.306834800499999</v>
      </c>
      <c r="AD28">
        <v>3</v>
      </c>
      <c r="AE28">
        <v>5</v>
      </c>
      <c r="AF28">
        <v>3</v>
      </c>
      <c r="AG28">
        <v>-2</v>
      </c>
      <c r="AH28">
        <f t="shared" si="15"/>
        <v>3.8655831353907356E-2</v>
      </c>
      <c r="AI28">
        <f t="shared" si="15"/>
        <v>7.7480378373566541E-2</v>
      </c>
      <c r="AJ28">
        <f t="shared" si="15"/>
        <v>3.8655831353907356E-2</v>
      </c>
      <c r="AK28">
        <f t="shared" si="15"/>
        <v>2.0384653162369731E-2</v>
      </c>
      <c r="AL28">
        <f t="shared" si="16"/>
        <v>0.17517669424375099</v>
      </c>
      <c r="AM28" s="7">
        <f t="shared" si="17"/>
        <v>67.925793073255534</v>
      </c>
    </row>
  </sheetData>
  <mergeCells count="29">
    <mergeCell ref="AM1:AM3"/>
    <mergeCell ref="K2:M2"/>
    <mergeCell ref="N2:P2"/>
    <mergeCell ref="Q2:Q3"/>
    <mergeCell ref="R2:R3"/>
    <mergeCell ref="AA1:AA3"/>
    <mergeCell ref="AB1:AB3"/>
    <mergeCell ref="AC1:AC3"/>
    <mergeCell ref="AD1:AG2"/>
    <mergeCell ref="AH1:AK2"/>
    <mergeCell ref="AL1:AL3"/>
    <mergeCell ref="T1:T2"/>
    <mergeCell ref="U1:U2"/>
    <mergeCell ref="V1:V2"/>
    <mergeCell ref="W1:W2"/>
    <mergeCell ref="Y1:Y3"/>
    <mergeCell ref="Z1:Z3"/>
    <mergeCell ref="G1:G2"/>
    <mergeCell ref="H1:H2"/>
    <mergeCell ref="I1:I3"/>
    <mergeCell ref="J1:J2"/>
    <mergeCell ref="K1:R1"/>
    <mergeCell ref="S1:S2"/>
    <mergeCell ref="F1:F2"/>
    <mergeCell ref="A1:A3"/>
    <mergeCell ref="B1:B3"/>
    <mergeCell ref="C1:C2"/>
    <mergeCell ref="D1:D3"/>
    <mergeCell ref="E1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"/>
  <sheetViews>
    <sheetView topLeftCell="S1" zoomScale="84" zoomScaleNormal="84" workbookViewId="0">
      <selection activeCell="X7" sqref="X7"/>
    </sheetView>
  </sheetViews>
  <sheetFormatPr defaultRowHeight="15" x14ac:dyDescent="0.25"/>
  <cols>
    <col min="10" max="10" width="18.42578125" bestFit="1" customWidth="1"/>
    <col min="11" max="12" width="10.28515625" customWidth="1"/>
    <col min="17" max="17" width="16.42578125" customWidth="1"/>
    <col min="18" max="18" width="16.28515625" bestFit="1" customWidth="1"/>
    <col min="19" max="19" width="15.85546875" customWidth="1"/>
    <col min="20" max="20" width="12.5703125" bestFit="1" customWidth="1"/>
    <col min="21" max="21" width="12.5703125" customWidth="1"/>
    <col min="22" max="23" width="9.85546875" customWidth="1"/>
    <col min="28" max="28" width="10.5703125" bestFit="1" customWidth="1"/>
  </cols>
  <sheetData>
    <row r="1" spans="1:39" x14ac:dyDescent="0.25">
      <c r="A1" s="20" t="s">
        <v>2</v>
      </c>
      <c r="B1" s="20" t="s">
        <v>0</v>
      </c>
      <c r="C1" s="20" t="s">
        <v>4</v>
      </c>
      <c r="D1" s="20" t="s">
        <v>6</v>
      </c>
      <c r="E1" s="20" t="s">
        <v>7</v>
      </c>
      <c r="F1" s="20" t="s">
        <v>9</v>
      </c>
      <c r="G1" s="20" t="s">
        <v>7</v>
      </c>
      <c r="H1" s="20" t="s">
        <v>12</v>
      </c>
      <c r="I1" s="20" t="s">
        <v>13</v>
      </c>
      <c r="J1" s="23" t="s">
        <v>14</v>
      </c>
      <c r="K1" s="28" t="s">
        <v>15</v>
      </c>
      <c r="L1" s="29"/>
      <c r="M1" s="29"/>
      <c r="N1" s="29"/>
      <c r="O1" s="29"/>
      <c r="P1" s="29"/>
      <c r="Q1" s="29"/>
      <c r="R1" s="30"/>
      <c r="S1" s="20" t="s">
        <v>21</v>
      </c>
      <c r="T1" s="20" t="s">
        <v>26</v>
      </c>
      <c r="U1" s="20" t="s">
        <v>12</v>
      </c>
      <c r="V1" s="20" t="s">
        <v>23</v>
      </c>
      <c r="W1" s="20" t="s">
        <v>25</v>
      </c>
      <c r="X1" s="14" t="b">
        <v>1</v>
      </c>
      <c r="Y1" s="20" t="s">
        <v>28</v>
      </c>
      <c r="Z1" s="20" t="s">
        <v>29</v>
      </c>
      <c r="AA1" s="20" t="s">
        <v>30</v>
      </c>
      <c r="AB1" s="20" t="s">
        <v>31</v>
      </c>
      <c r="AC1" s="20" t="s">
        <v>32</v>
      </c>
      <c r="AD1" s="36" t="s">
        <v>37</v>
      </c>
      <c r="AE1" s="37"/>
      <c r="AF1" s="37"/>
      <c r="AG1" s="38"/>
      <c r="AH1" s="36" t="s">
        <v>38</v>
      </c>
      <c r="AI1" s="37"/>
      <c r="AJ1" s="37"/>
      <c r="AK1" s="38"/>
      <c r="AL1" s="20" t="s">
        <v>39</v>
      </c>
      <c r="AM1" s="20" t="s">
        <v>40</v>
      </c>
    </row>
    <row r="2" spans="1:39" x14ac:dyDescent="0.25">
      <c r="A2" s="21"/>
      <c r="B2" s="21"/>
      <c r="C2" s="21"/>
      <c r="D2" s="21"/>
      <c r="E2" s="21"/>
      <c r="F2" s="21"/>
      <c r="G2" s="21"/>
      <c r="H2" s="21"/>
      <c r="I2" s="21"/>
      <c r="J2" s="24"/>
      <c r="K2" s="31" t="s">
        <v>16</v>
      </c>
      <c r="L2" s="32"/>
      <c r="M2" s="33"/>
      <c r="N2" s="31" t="s">
        <v>17</v>
      </c>
      <c r="O2" s="32"/>
      <c r="P2" s="33"/>
      <c r="Q2" s="34" t="s">
        <v>16</v>
      </c>
      <c r="R2" s="34" t="s">
        <v>17</v>
      </c>
      <c r="S2" s="21"/>
      <c r="T2" s="21"/>
      <c r="U2" s="21"/>
      <c r="V2" s="21"/>
      <c r="W2" s="21"/>
      <c r="X2" s="15" t="s">
        <v>23</v>
      </c>
      <c r="Y2" s="21"/>
      <c r="Z2" s="21"/>
      <c r="AA2" s="21"/>
      <c r="AB2" s="21"/>
      <c r="AC2" s="21"/>
      <c r="AD2" s="39"/>
      <c r="AE2" s="40"/>
      <c r="AF2" s="40"/>
      <c r="AG2" s="41"/>
      <c r="AH2" s="39"/>
      <c r="AI2" s="40"/>
      <c r="AJ2" s="40"/>
      <c r="AK2" s="41"/>
      <c r="AL2" s="21"/>
      <c r="AM2" s="21"/>
    </row>
    <row r="3" spans="1:39" x14ac:dyDescent="0.25">
      <c r="A3" s="27"/>
      <c r="B3" s="27"/>
      <c r="C3" s="11" t="s">
        <v>5</v>
      </c>
      <c r="D3" s="27"/>
      <c r="E3" s="11" t="s">
        <v>8</v>
      </c>
      <c r="F3" s="12" t="s">
        <v>11</v>
      </c>
      <c r="G3" s="11" t="s">
        <v>12</v>
      </c>
      <c r="H3" s="11" t="s">
        <v>10</v>
      </c>
      <c r="I3" s="27"/>
      <c r="J3" s="13">
        <v>978091.40800000005</v>
      </c>
      <c r="K3" s="10" t="s">
        <v>18</v>
      </c>
      <c r="L3" s="10" t="s">
        <v>19</v>
      </c>
      <c r="M3" s="10" t="s">
        <v>20</v>
      </c>
      <c r="N3" s="10" t="s">
        <v>18</v>
      </c>
      <c r="O3" s="10" t="s">
        <v>19</v>
      </c>
      <c r="P3" s="10" t="s">
        <v>20</v>
      </c>
      <c r="Q3" s="35"/>
      <c r="R3" s="35"/>
      <c r="S3" s="11" t="s">
        <v>22</v>
      </c>
      <c r="T3" s="11" t="s">
        <v>27</v>
      </c>
      <c r="U3" s="11" t="s">
        <v>23</v>
      </c>
      <c r="V3" s="11" t="s">
        <v>11</v>
      </c>
      <c r="W3" s="11" t="s">
        <v>23</v>
      </c>
      <c r="X3" s="11" t="s">
        <v>24</v>
      </c>
      <c r="Y3" s="27"/>
      <c r="Z3" s="27"/>
      <c r="AA3" s="27"/>
      <c r="AB3" s="27"/>
      <c r="AC3" s="27"/>
      <c r="AD3" s="10" t="s">
        <v>33</v>
      </c>
      <c r="AE3" s="10" t="s">
        <v>34</v>
      </c>
      <c r="AF3" s="10" t="s">
        <v>35</v>
      </c>
      <c r="AG3" s="10" t="s">
        <v>36</v>
      </c>
      <c r="AH3" s="10" t="s">
        <v>33</v>
      </c>
      <c r="AI3" s="10" t="s">
        <v>34</v>
      </c>
      <c r="AJ3" s="10" t="s">
        <v>35</v>
      </c>
      <c r="AK3" s="10" t="s">
        <v>36</v>
      </c>
      <c r="AL3" s="27"/>
      <c r="AM3" s="27"/>
    </row>
    <row r="4" spans="1:39" x14ac:dyDescent="0.25">
      <c r="B4" t="s">
        <v>1</v>
      </c>
      <c r="C4" s="16">
        <f>(8*60)+16</f>
        <v>496</v>
      </c>
      <c r="D4">
        <v>3485.049</v>
      </c>
      <c r="E4">
        <v>0</v>
      </c>
      <c r="F4">
        <f>D4+E4</f>
        <v>3485.049</v>
      </c>
      <c r="G4">
        <f t="shared" ref="G4:G20" si="0">(($F$20-$F$4)/($C$20-$C$4))*(C4-$C$4)</f>
        <v>0</v>
      </c>
      <c r="H4">
        <f>F4-G4</f>
        <v>3485.049</v>
      </c>
      <c r="I4" s="5">
        <f>H4-$H$4</f>
        <v>0</v>
      </c>
      <c r="J4" s="7">
        <f>I4+$J$3</f>
        <v>978091.40800000005</v>
      </c>
      <c r="K4" s="5">
        <v>6</v>
      </c>
      <c r="L4" s="5">
        <v>38</v>
      </c>
      <c r="M4" s="5">
        <v>47.2</v>
      </c>
      <c r="N4" s="8">
        <v>106</v>
      </c>
      <c r="O4" s="8">
        <v>33</v>
      </c>
      <c r="P4" s="8">
        <v>47.2</v>
      </c>
      <c r="Q4" s="9">
        <f t="shared" ref="Q4:Q20" si="1">-(K4+(L4/60)+(M4/3600))</f>
        <v>-6.6464444444444437</v>
      </c>
      <c r="R4">
        <f>(N4+(O4/60)+(P4/3600))</f>
        <v>106.56311111111111</v>
      </c>
      <c r="S4">
        <f>RADIANS(Q4)</f>
        <v>-0.11600233910644088</v>
      </c>
      <c r="T4">
        <v>405</v>
      </c>
      <c r="U4">
        <f t="shared" ref="U4:U20" si="2">(T$20-T$4)*(C4-C$4)/(C$20-C$4)</f>
        <v>0</v>
      </c>
      <c r="V4">
        <f>T4-U4</f>
        <v>405</v>
      </c>
      <c r="W4">
        <f>V4-V$4</f>
        <v>0</v>
      </c>
      <c r="X4">
        <v>396.51900000000001</v>
      </c>
      <c r="Y4">
        <f>(0.0004462*X4/0.3048)-(0.00000003282*(X4^2)/(0.3048^2))+(0.00000000000000127*(X4^3)/(0.3048^3))</f>
        <v>0.52492729067563015</v>
      </c>
      <c r="Z4">
        <f>978031.8*(1+0.0053024*(SIN(S4))^2)+0.0000058*(SIN(2*S4))^2</f>
        <v>978101.27203953965</v>
      </c>
      <c r="AA4">
        <f>0.3085*X4</f>
        <v>122.3261115</v>
      </c>
      <c r="AB4" s="7">
        <f>J4-Z4+AA4</f>
        <v>112.46207196040766</v>
      </c>
      <c r="AC4">
        <f>0.04185*2.67*X4</f>
        <v>44.306834800499999</v>
      </c>
      <c r="AD4">
        <v>3</v>
      </c>
      <c r="AE4">
        <v>5</v>
      </c>
      <c r="AF4">
        <v>3</v>
      </c>
      <c r="AG4">
        <v>-2</v>
      </c>
      <c r="AH4">
        <f>0.04191*(2.67/4)*((20-2)+SQRT((2^2+AD4^2))-SQRT((20^2+AD4^2)))</f>
        <v>3.8655831353907356E-2</v>
      </c>
      <c r="AI4">
        <f>0.04191*(2.67/4)*((20-2)+SQRT((2^2+AE4^2))-SQRT((20^2+AE4^2)))</f>
        <v>7.7480378373566541E-2</v>
      </c>
      <c r="AJ4">
        <f>0.04191*(2.67/4)*((20-2)+SQRT((2^2+AF4^2))-SQRT((20^2+AF4^2)))</f>
        <v>3.8655831353907356E-2</v>
      </c>
      <c r="AK4">
        <f>0.04191*(2.67/4)*((20-2)+SQRT((2^2+AG4^2))-SQRT((20^2+AG4^2)))</f>
        <v>2.0384653162369731E-2</v>
      </c>
      <c r="AL4">
        <f>SUM(AH4:AK4)</f>
        <v>0.17517669424375099</v>
      </c>
      <c r="AM4" s="7">
        <f>AB4-AC4+AL4-Y4</f>
        <v>67.805486563475768</v>
      </c>
    </row>
    <row r="5" spans="1:39" x14ac:dyDescent="0.25">
      <c r="B5">
        <v>1</v>
      </c>
      <c r="C5" s="16">
        <f>(8*60)+57</f>
        <v>537</v>
      </c>
      <c r="D5">
        <v>3481.6149999999998</v>
      </c>
      <c r="E5">
        <v>0</v>
      </c>
      <c r="F5">
        <f t="shared" ref="F5:F20" si="3">D5+E5</f>
        <v>3481.6149999999998</v>
      </c>
      <c r="G5">
        <f t="shared" si="0"/>
        <v>1.9340989399280636E-2</v>
      </c>
      <c r="H5">
        <f t="shared" ref="H5:H20" si="4">F5-G5</f>
        <v>3481.5956590106007</v>
      </c>
      <c r="I5" s="5">
        <f t="shared" ref="I5:I20" si="5">H5-$H$4</f>
        <v>-3.4533409893992939</v>
      </c>
      <c r="J5" s="7">
        <f t="shared" ref="J5:J20" si="6">I5+$J$3</f>
        <v>978087.95465901063</v>
      </c>
      <c r="K5" s="5">
        <v>6</v>
      </c>
      <c r="L5" s="5">
        <v>38</v>
      </c>
      <c r="M5" s="5">
        <v>22.42</v>
      </c>
      <c r="N5" s="8">
        <v>106</v>
      </c>
      <c r="O5" s="8">
        <v>33</v>
      </c>
      <c r="P5" s="8">
        <v>40.99</v>
      </c>
      <c r="Q5" s="9">
        <f t="shared" si="1"/>
        <v>-6.639561111111111</v>
      </c>
      <c r="R5">
        <f t="shared" ref="R5:R20" si="7">(N5+(O5/60)+(P5/3600))</f>
        <v>106.5613861111111</v>
      </c>
      <c r="S5">
        <f t="shared" ref="S5:S20" si="8">RADIANS(Q5)</f>
        <v>-0.11588220227626195</v>
      </c>
      <c r="T5">
        <v>433</v>
      </c>
      <c r="U5">
        <f t="shared" si="2"/>
        <v>7.2438162544169613E-2</v>
      </c>
      <c r="V5">
        <f t="shared" ref="V5:V20" si="9">T5-U5</f>
        <v>432.92756183745581</v>
      </c>
      <c r="W5">
        <f>V5-V$4</f>
        <v>27.927561837455812</v>
      </c>
      <c r="X5">
        <f>X$4+W5</f>
        <v>424.44656183745582</v>
      </c>
      <c r="Y5">
        <f t="shared" ref="Y5:Y20" si="10">(0.0004462*X5/0.3048)-(0.00000003282*(X5^2)/(0.3048^2))+(0.00000000000000127*(X5^3)/(0.3048^3))</f>
        <v>0.5577117256500812</v>
      </c>
      <c r="Z5">
        <f t="shared" ref="Z5:Z20" si="11">978031.8*(1+0.0053024*(SIN(S5))^2)+0.0000058*(SIN(2*S5))^2</f>
        <v>978101.1288621648</v>
      </c>
      <c r="AA5">
        <f t="shared" ref="AA5:AA20" si="12">0.3085*X5</f>
        <v>130.94176432685512</v>
      </c>
      <c r="AB5" s="7">
        <f t="shared" ref="AB5:AB20" si="13">J5-Z5+AA5</f>
        <v>117.76756117268982</v>
      </c>
      <c r="AC5">
        <f t="shared" ref="AC5:AC20" si="14">0.04185*2.67*X5</f>
        <v>47.42744659643639</v>
      </c>
      <c r="AD5">
        <v>-4</v>
      </c>
      <c r="AE5">
        <v>-3</v>
      </c>
      <c r="AF5">
        <v>2</v>
      </c>
      <c r="AG5">
        <v>3</v>
      </c>
      <c r="AH5">
        <f t="shared" ref="AH5:AK20" si="15">0.04191*(2.67/4)*((20-2)+SQRT((2^2+AD5^2))-SQRT((20^2+AD5^2)))</f>
        <v>5.8077564065738108E-2</v>
      </c>
      <c r="AI5">
        <f t="shared" si="15"/>
        <v>3.8655831353907356E-2</v>
      </c>
      <c r="AJ5">
        <f t="shared" si="15"/>
        <v>2.0384653162369731E-2</v>
      </c>
      <c r="AK5">
        <f t="shared" si="15"/>
        <v>3.8655831353907356E-2</v>
      </c>
      <c r="AL5">
        <f t="shared" ref="AL5:AL20" si="16">SUM(AH5:AK5)</f>
        <v>0.15577387993592254</v>
      </c>
      <c r="AM5" s="7">
        <f>AB5-AC5+AL5-Y5</f>
        <v>69.938176730539269</v>
      </c>
    </row>
    <row r="6" spans="1:39" x14ac:dyDescent="0.25">
      <c r="B6">
        <v>2</v>
      </c>
      <c r="C6" s="16">
        <f>(9*60)+4</f>
        <v>544</v>
      </c>
      <c r="D6">
        <v>3478.931</v>
      </c>
      <c r="E6">
        <v>0</v>
      </c>
      <c r="F6">
        <f t="shared" si="3"/>
        <v>3478.931</v>
      </c>
      <c r="G6">
        <f t="shared" si="0"/>
        <v>2.2643109540621233E-2</v>
      </c>
      <c r="H6">
        <f t="shared" si="4"/>
        <v>3478.9083568904593</v>
      </c>
      <c r="I6" s="5">
        <f t="shared" si="5"/>
        <v>-6.1406431095406333</v>
      </c>
      <c r="J6" s="7">
        <f t="shared" si="6"/>
        <v>978085.26735689049</v>
      </c>
      <c r="K6" s="5">
        <v>6</v>
      </c>
      <c r="L6" s="5">
        <v>38</v>
      </c>
      <c r="M6" s="5">
        <v>23.14</v>
      </c>
      <c r="N6" s="8">
        <v>106</v>
      </c>
      <c r="O6" s="8">
        <v>33</v>
      </c>
      <c r="P6" s="8">
        <v>40.11</v>
      </c>
      <c r="Q6" s="9">
        <f t="shared" si="1"/>
        <v>-6.6397611111111106</v>
      </c>
      <c r="R6">
        <f t="shared" si="7"/>
        <v>106.56114166666666</v>
      </c>
      <c r="S6">
        <f t="shared" si="8"/>
        <v>-0.11588569293476593</v>
      </c>
      <c r="T6">
        <v>446</v>
      </c>
      <c r="U6">
        <f t="shared" si="2"/>
        <v>8.4805653710247356E-2</v>
      </c>
      <c r="V6">
        <f t="shared" si="9"/>
        <v>445.91519434628975</v>
      </c>
      <c r="W6">
        <f>V6-V$4</f>
        <v>40.915194346289752</v>
      </c>
      <c r="X6">
        <f>X$4+W6</f>
        <v>437.43419434628976</v>
      </c>
      <c r="Y6">
        <f t="shared" si="10"/>
        <v>0.57277033757169216</v>
      </c>
      <c r="Z6">
        <f t="shared" si="11"/>
        <v>978101.13302022708</v>
      </c>
      <c r="AA6">
        <f t="shared" si="12"/>
        <v>134.9484489558304</v>
      </c>
      <c r="AB6" s="7">
        <f t="shared" si="13"/>
        <v>119.08278561924047</v>
      </c>
      <c r="AC6">
        <f t="shared" si="14"/>
        <v>48.878678159157239</v>
      </c>
      <c r="AD6">
        <v>-3</v>
      </c>
      <c r="AE6">
        <v>-4</v>
      </c>
      <c r="AF6">
        <v>2</v>
      </c>
      <c r="AG6">
        <v>1</v>
      </c>
      <c r="AH6">
        <f t="shared" si="15"/>
        <v>3.8655831353907356E-2</v>
      </c>
      <c r="AI6">
        <f t="shared" si="15"/>
        <v>5.8077564065738108E-2</v>
      </c>
      <c r="AJ6">
        <f t="shared" si="15"/>
        <v>2.0384653162369731E-2</v>
      </c>
      <c r="AK6">
        <f t="shared" si="15"/>
        <v>5.905047403128365E-3</v>
      </c>
      <c r="AL6">
        <f t="shared" si="16"/>
        <v>0.12302309598514355</v>
      </c>
      <c r="AM6" s="7">
        <f t="shared" ref="AM6:AM20" si="17">AB6-AC6+AL6-Y6</f>
        <v>69.754360218496686</v>
      </c>
    </row>
    <row r="7" spans="1:39" x14ac:dyDescent="0.25">
      <c r="B7">
        <v>3</v>
      </c>
      <c r="C7" s="16">
        <f>(9*60)+1</f>
        <v>541</v>
      </c>
      <c r="D7">
        <v>3479.1759999999999</v>
      </c>
      <c r="E7">
        <v>0</v>
      </c>
      <c r="F7">
        <f t="shared" si="3"/>
        <v>3479.1759999999999</v>
      </c>
      <c r="G7">
        <f t="shared" si="0"/>
        <v>2.1227915194332408E-2</v>
      </c>
      <c r="H7">
        <f t="shared" si="4"/>
        <v>3479.1547720848057</v>
      </c>
      <c r="I7" s="5">
        <f t="shared" si="5"/>
        <v>-5.8942279151942785</v>
      </c>
      <c r="J7" s="7">
        <f t="shared" si="6"/>
        <v>978085.51377208484</v>
      </c>
      <c r="K7" s="5">
        <v>6</v>
      </c>
      <c r="L7" s="5">
        <v>38</v>
      </c>
      <c r="M7" s="5">
        <v>23.77</v>
      </c>
      <c r="N7" s="8">
        <v>106</v>
      </c>
      <c r="O7" s="8">
        <v>33</v>
      </c>
      <c r="P7" s="8">
        <v>38.659999999999997</v>
      </c>
      <c r="Q7" s="9">
        <f t="shared" si="1"/>
        <v>-6.639936111111111</v>
      </c>
      <c r="R7">
        <f t="shared" si="7"/>
        <v>106.56073888888889</v>
      </c>
      <c r="S7">
        <f t="shared" si="8"/>
        <v>-0.11588874726095692</v>
      </c>
      <c r="T7">
        <v>447</v>
      </c>
      <c r="U7">
        <f t="shared" si="2"/>
        <v>7.9505300353356886E-2</v>
      </c>
      <c r="V7">
        <f t="shared" si="9"/>
        <v>446.92049469964667</v>
      </c>
      <c r="W7">
        <f t="shared" ref="W7:W20" si="18">V7-V$4</f>
        <v>41.920494699646667</v>
      </c>
      <c r="X7">
        <f t="shared" ref="X7:X19" si="19">X$4+W7</f>
        <v>438.43949469964667</v>
      </c>
      <c r="Y7">
        <f t="shared" si="10"/>
        <v>0.57393097223009193</v>
      </c>
      <c r="Z7">
        <f t="shared" si="11"/>
        <v>978101.13665863266</v>
      </c>
      <c r="AA7">
        <f t="shared" si="12"/>
        <v>135.258584114841</v>
      </c>
      <c r="AB7" s="7">
        <f t="shared" si="13"/>
        <v>119.63569756702222</v>
      </c>
      <c r="AC7">
        <f t="shared" si="14"/>
        <v>48.991009917991164</v>
      </c>
      <c r="AD7">
        <v>3</v>
      </c>
      <c r="AE7">
        <v>2</v>
      </c>
      <c r="AF7">
        <v>2</v>
      </c>
      <c r="AG7">
        <v>3</v>
      </c>
      <c r="AH7">
        <f t="shared" si="15"/>
        <v>3.8655831353907356E-2</v>
      </c>
      <c r="AI7">
        <f t="shared" si="15"/>
        <v>2.0384653162369731E-2</v>
      </c>
      <c r="AJ7">
        <f t="shared" si="15"/>
        <v>2.0384653162369731E-2</v>
      </c>
      <c r="AK7">
        <f t="shared" si="15"/>
        <v>3.8655831353907356E-2</v>
      </c>
      <c r="AL7">
        <f t="shared" si="16"/>
        <v>0.11808096903255416</v>
      </c>
      <c r="AM7" s="7">
        <f t="shared" si="17"/>
        <v>70.188837645833516</v>
      </c>
    </row>
    <row r="8" spans="1:39" x14ac:dyDescent="0.25">
      <c r="B8">
        <v>4</v>
      </c>
      <c r="C8" s="16">
        <f>(9*60)+16</f>
        <v>556</v>
      </c>
      <c r="D8">
        <v>3479.3780000000002</v>
      </c>
      <c r="E8">
        <v>0</v>
      </c>
      <c r="F8">
        <f t="shared" si="3"/>
        <v>3479.3780000000002</v>
      </c>
      <c r="G8">
        <f t="shared" si="0"/>
        <v>2.8303886925776543E-2</v>
      </c>
      <c r="H8">
        <f t="shared" si="4"/>
        <v>3479.3496961130745</v>
      </c>
      <c r="I8" s="5">
        <f t="shared" si="5"/>
        <v>-5.6993038869254633</v>
      </c>
      <c r="J8" s="7">
        <f t="shared" si="6"/>
        <v>978085.70869611308</v>
      </c>
      <c r="K8" s="5">
        <v>6</v>
      </c>
      <c r="L8" s="5">
        <v>38</v>
      </c>
      <c r="M8" s="5">
        <v>24.72</v>
      </c>
      <c r="N8" s="8">
        <v>106</v>
      </c>
      <c r="O8" s="8">
        <v>33</v>
      </c>
      <c r="P8" s="8">
        <v>37.450000000000003</v>
      </c>
      <c r="Q8" s="9">
        <f t="shared" si="1"/>
        <v>-6.6401999999999992</v>
      </c>
      <c r="R8">
        <f t="shared" si="7"/>
        <v>106.56040277777778</v>
      </c>
      <c r="S8">
        <f t="shared" si="8"/>
        <v>-0.11589335299092746</v>
      </c>
      <c r="T8">
        <v>446</v>
      </c>
      <c r="U8">
        <f t="shared" si="2"/>
        <v>0.10600706713780919</v>
      </c>
      <c r="V8">
        <f t="shared" si="9"/>
        <v>445.8939929328622</v>
      </c>
      <c r="W8">
        <f t="shared" si="18"/>
        <v>40.893992932862204</v>
      </c>
      <c r="X8">
        <f t="shared" si="19"/>
        <v>437.41299293286221</v>
      </c>
      <c r="Y8">
        <f t="shared" si="10"/>
        <v>0.57274585252803167</v>
      </c>
      <c r="Z8">
        <f t="shared" si="11"/>
        <v>978101.14214529516</v>
      </c>
      <c r="AA8">
        <f t="shared" si="12"/>
        <v>134.94190831978798</v>
      </c>
      <c r="AB8" s="7">
        <f t="shared" si="13"/>
        <v>119.50845913771067</v>
      </c>
      <c r="AC8">
        <f t="shared" si="14"/>
        <v>48.876309123821557</v>
      </c>
      <c r="AD8">
        <v>3</v>
      </c>
      <c r="AE8">
        <v>4</v>
      </c>
      <c r="AF8">
        <v>-3</v>
      </c>
      <c r="AG8">
        <v>-4</v>
      </c>
      <c r="AH8">
        <f t="shared" si="15"/>
        <v>3.8655831353907356E-2</v>
      </c>
      <c r="AI8">
        <f t="shared" si="15"/>
        <v>5.8077564065738108E-2</v>
      </c>
      <c r="AJ8">
        <f t="shared" si="15"/>
        <v>3.8655831353907356E-2</v>
      </c>
      <c r="AK8">
        <f t="shared" si="15"/>
        <v>5.8077564065738108E-2</v>
      </c>
      <c r="AL8">
        <f t="shared" si="16"/>
        <v>0.19346679083929091</v>
      </c>
      <c r="AM8" s="7">
        <f t="shared" si="17"/>
        <v>70.252870952200382</v>
      </c>
    </row>
    <row r="9" spans="1:39" x14ac:dyDescent="0.25">
      <c r="B9">
        <v>5</v>
      </c>
      <c r="C9" s="16">
        <f>(9*60)+23</f>
        <v>563</v>
      </c>
      <c r="D9">
        <v>3482.8029999999999</v>
      </c>
      <c r="E9">
        <v>0</v>
      </c>
      <c r="F9">
        <f t="shared" si="3"/>
        <v>3482.8029999999999</v>
      </c>
      <c r="G9">
        <f t="shared" si="0"/>
        <v>3.1606007067117137E-2</v>
      </c>
      <c r="H9">
        <f t="shared" si="4"/>
        <v>3482.7713939929326</v>
      </c>
      <c r="I9" s="5">
        <f t="shared" si="5"/>
        <v>-2.2776060070673338</v>
      </c>
      <c r="J9" s="7">
        <f t="shared" si="6"/>
        <v>978089.13039399299</v>
      </c>
      <c r="K9" s="5">
        <v>6</v>
      </c>
      <c r="L9" s="5">
        <v>38</v>
      </c>
      <c r="M9" s="5">
        <v>25.38</v>
      </c>
      <c r="N9" s="8">
        <v>106</v>
      </c>
      <c r="O9" s="8">
        <v>33</v>
      </c>
      <c r="P9" s="8">
        <v>36.159999999999997</v>
      </c>
      <c r="Q9" s="9">
        <f t="shared" si="1"/>
        <v>-6.6403833333333324</v>
      </c>
      <c r="R9">
        <f t="shared" si="7"/>
        <v>106.56004444444444</v>
      </c>
      <c r="S9">
        <f t="shared" si="8"/>
        <v>-0.11589655276122278</v>
      </c>
      <c r="T9">
        <v>434</v>
      </c>
      <c r="U9">
        <f t="shared" si="2"/>
        <v>0.11837455830388692</v>
      </c>
      <c r="V9">
        <f t="shared" si="9"/>
        <v>433.88162544169609</v>
      </c>
      <c r="W9">
        <f t="shared" si="18"/>
        <v>28.881625441696087</v>
      </c>
      <c r="X9">
        <f t="shared" si="19"/>
        <v>425.40062544169609</v>
      </c>
      <c r="Y9">
        <f t="shared" si="10"/>
        <v>0.55882197731905126</v>
      </c>
      <c r="Z9">
        <f t="shared" si="11"/>
        <v>978101.14595720766</v>
      </c>
      <c r="AA9">
        <f t="shared" si="12"/>
        <v>131.23609294876323</v>
      </c>
      <c r="AB9" s="7">
        <f t="shared" si="13"/>
        <v>119.22052973409981</v>
      </c>
      <c r="AC9">
        <f t="shared" si="14"/>
        <v>47.534053186542394</v>
      </c>
      <c r="AD9">
        <v>-2</v>
      </c>
      <c r="AE9">
        <v>2</v>
      </c>
      <c r="AF9">
        <v>3</v>
      </c>
      <c r="AG9">
        <v>-3</v>
      </c>
      <c r="AH9">
        <f t="shared" si="15"/>
        <v>2.0384653162369731E-2</v>
      </c>
      <c r="AI9">
        <f t="shared" si="15"/>
        <v>2.0384653162369731E-2</v>
      </c>
      <c r="AJ9">
        <f t="shared" si="15"/>
        <v>3.8655831353907356E-2</v>
      </c>
      <c r="AK9">
        <f t="shared" si="15"/>
        <v>3.8655831353907356E-2</v>
      </c>
      <c r="AL9">
        <f t="shared" si="16"/>
        <v>0.11808096903255416</v>
      </c>
      <c r="AM9" s="7">
        <f t="shared" si="17"/>
        <v>71.24573553927091</v>
      </c>
    </row>
    <row r="10" spans="1:39" x14ac:dyDescent="0.25">
      <c r="B10">
        <v>6</v>
      </c>
      <c r="C10" s="16">
        <f>(9*60)+31</f>
        <v>571</v>
      </c>
      <c r="D10">
        <v>3483.942</v>
      </c>
      <c r="E10">
        <v>0</v>
      </c>
      <c r="F10">
        <f t="shared" si="3"/>
        <v>3483.942</v>
      </c>
      <c r="G10">
        <f t="shared" si="0"/>
        <v>3.5379858657220674E-2</v>
      </c>
      <c r="H10">
        <f t="shared" si="4"/>
        <v>3483.906620141343</v>
      </c>
      <c r="I10" s="5">
        <f t="shared" si="5"/>
        <v>-1.1423798586570229</v>
      </c>
      <c r="J10" s="7">
        <f t="shared" si="6"/>
        <v>978090.26562014141</v>
      </c>
      <c r="K10" s="5">
        <v>6</v>
      </c>
      <c r="L10" s="5">
        <v>38</v>
      </c>
      <c r="M10" s="5">
        <v>26.05</v>
      </c>
      <c r="N10" s="8">
        <v>106</v>
      </c>
      <c r="O10" s="8">
        <v>33</v>
      </c>
      <c r="P10" s="8">
        <v>33.74</v>
      </c>
      <c r="Q10" s="9">
        <f t="shared" si="1"/>
        <v>-6.6405694444444441</v>
      </c>
      <c r="R10">
        <f t="shared" si="7"/>
        <v>106.55937222222222</v>
      </c>
      <c r="S10">
        <f t="shared" si="8"/>
        <v>-0.11589980101288622</v>
      </c>
      <c r="T10">
        <v>428</v>
      </c>
      <c r="U10">
        <f t="shared" si="2"/>
        <v>0.13250883392226148</v>
      </c>
      <c r="V10">
        <f t="shared" si="9"/>
        <v>427.86749116607774</v>
      </c>
      <c r="W10">
        <f t="shared" si="18"/>
        <v>22.867491166077741</v>
      </c>
      <c r="X10">
        <f t="shared" si="19"/>
        <v>419.38649116607775</v>
      </c>
      <c r="Y10">
        <f t="shared" si="10"/>
        <v>0.55181253075376857</v>
      </c>
      <c r="Z10">
        <f t="shared" si="11"/>
        <v>978101.14982698218</v>
      </c>
      <c r="AA10">
        <f t="shared" si="12"/>
        <v>129.38073252473498</v>
      </c>
      <c r="AB10" s="7">
        <f t="shared" si="13"/>
        <v>118.49652568396652</v>
      </c>
      <c r="AC10">
        <f t="shared" si="14"/>
        <v>46.862036829651942</v>
      </c>
      <c r="AD10">
        <v>-1</v>
      </c>
      <c r="AE10">
        <v>-2</v>
      </c>
      <c r="AF10">
        <v>-2</v>
      </c>
      <c r="AG10">
        <v>4</v>
      </c>
      <c r="AH10">
        <f t="shared" si="15"/>
        <v>5.905047403128365E-3</v>
      </c>
      <c r="AI10">
        <f t="shared" si="15"/>
        <v>2.0384653162369731E-2</v>
      </c>
      <c r="AJ10">
        <f t="shared" si="15"/>
        <v>2.0384653162369731E-2</v>
      </c>
      <c r="AK10">
        <f t="shared" si="15"/>
        <v>5.8077564065738108E-2</v>
      </c>
      <c r="AL10">
        <f t="shared" si="16"/>
        <v>0.10475191779360593</v>
      </c>
      <c r="AM10" s="7">
        <f t="shared" si="17"/>
        <v>71.187428241354425</v>
      </c>
    </row>
    <row r="11" spans="1:39" x14ac:dyDescent="0.25">
      <c r="B11">
        <v>7</v>
      </c>
      <c r="C11" s="16">
        <f>(9*60)+36</f>
        <v>576</v>
      </c>
      <c r="D11">
        <v>3483.2689999999998</v>
      </c>
      <c r="E11">
        <v>0</v>
      </c>
      <c r="F11">
        <f t="shared" si="3"/>
        <v>3483.2689999999998</v>
      </c>
      <c r="G11">
        <f t="shared" si="0"/>
        <v>3.7738515901035385E-2</v>
      </c>
      <c r="H11">
        <f t="shared" si="4"/>
        <v>3483.2312614840989</v>
      </c>
      <c r="I11" s="5">
        <f t="shared" si="5"/>
        <v>-1.8177385159010555</v>
      </c>
      <c r="J11" s="7">
        <f t="shared" si="6"/>
        <v>978089.59026148415</v>
      </c>
      <c r="K11" s="5">
        <v>6</v>
      </c>
      <c r="L11" s="5">
        <v>38</v>
      </c>
      <c r="M11" s="5">
        <v>27.24</v>
      </c>
      <c r="N11" s="8">
        <v>106</v>
      </c>
      <c r="O11" s="8">
        <v>33</v>
      </c>
      <c r="P11" s="8">
        <v>33.520000000000003</v>
      </c>
      <c r="Q11" s="9">
        <f t="shared" si="1"/>
        <v>-6.6408999999999994</v>
      </c>
      <c r="R11">
        <f t="shared" si="7"/>
        <v>106.55931111111111</v>
      </c>
      <c r="S11">
        <f t="shared" si="8"/>
        <v>-0.11590557029569142</v>
      </c>
      <c r="T11">
        <v>431</v>
      </c>
      <c r="U11">
        <f t="shared" si="2"/>
        <v>0.14134275618374559</v>
      </c>
      <c r="V11">
        <f t="shared" si="9"/>
        <v>430.85865724381625</v>
      </c>
      <c r="W11">
        <f t="shared" si="18"/>
        <v>25.858657243816253</v>
      </c>
      <c r="X11">
        <f t="shared" si="19"/>
        <v>422.37765724381626</v>
      </c>
      <c r="Y11">
        <f t="shared" si="10"/>
        <v>0.55530191526011408</v>
      </c>
      <c r="Z11">
        <f t="shared" si="11"/>
        <v>978101.15670042671</v>
      </c>
      <c r="AA11">
        <f t="shared" si="12"/>
        <v>130.30350725971732</v>
      </c>
      <c r="AB11" s="7">
        <f t="shared" si="13"/>
        <v>118.73706831715174</v>
      </c>
      <c r="AC11">
        <f t="shared" si="14"/>
        <v>47.196268231595404</v>
      </c>
      <c r="AD11">
        <v>-3</v>
      </c>
      <c r="AE11">
        <v>3</v>
      </c>
      <c r="AF11">
        <v>2</v>
      </c>
      <c r="AG11">
        <v>-2</v>
      </c>
      <c r="AH11">
        <f t="shared" si="15"/>
        <v>3.8655831353907356E-2</v>
      </c>
      <c r="AI11">
        <f t="shared" si="15"/>
        <v>3.8655831353907356E-2</v>
      </c>
      <c r="AJ11">
        <f t="shared" si="15"/>
        <v>2.0384653162369731E-2</v>
      </c>
      <c r="AK11">
        <f t="shared" si="15"/>
        <v>2.0384653162369731E-2</v>
      </c>
      <c r="AL11">
        <f t="shared" si="16"/>
        <v>0.11808096903255418</v>
      </c>
      <c r="AM11" s="7">
        <f t="shared" si="17"/>
        <v>71.103579139328758</v>
      </c>
    </row>
    <row r="12" spans="1:39" x14ac:dyDescent="0.25">
      <c r="B12">
        <v>8</v>
      </c>
      <c r="C12" s="16">
        <f>(9*60)+45</f>
        <v>585</v>
      </c>
      <c r="D12">
        <v>3480.4870000000001</v>
      </c>
      <c r="E12">
        <v>0</v>
      </c>
      <c r="F12">
        <f t="shared" si="3"/>
        <v>3480.4870000000001</v>
      </c>
      <c r="G12">
        <f t="shared" si="0"/>
        <v>4.1984098939901869E-2</v>
      </c>
      <c r="H12">
        <f t="shared" si="4"/>
        <v>3480.4450159010603</v>
      </c>
      <c r="I12" s="5">
        <f t="shared" si="5"/>
        <v>-4.6039840989396907</v>
      </c>
      <c r="J12" s="7">
        <f t="shared" si="6"/>
        <v>978086.80401590117</v>
      </c>
      <c r="K12" s="5">
        <v>6</v>
      </c>
      <c r="L12" s="5">
        <v>38</v>
      </c>
      <c r="M12" s="5">
        <v>27.93</v>
      </c>
      <c r="N12" s="8">
        <v>106</v>
      </c>
      <c r="O12" s="8">
        <v>33</v>
      </c>
      <c r="P12" s="8">
        <v>32.04</v>
      </c>
      <c r="Q12" s="9">
        <f t="shared" si="1"/>
        <v>-6.6410916666666662</v>
      </c>
      <c r="R12">
        <f t="shared" si="7"/>
        <v>106.55889999999999</v>
      </c>
      <c r="S12">
        <f t="shared" si="8"/>
        <v>-0.11590891551009108</v>
      </c>
      <c r="T12">
        <v>442</v>
      </c>
      <c r="U12">
        <f t="shared" si="2"/>
        <v>0.15724381625441697</v>
      </c>
      <c r="V12">
        <f t="shared" si="9"/>
        <v>441.84275618374556</v>
      </c>
      <c r="W12">
        <f t="shared" si="18"/>
        <v>36.842756183745564</v>
      </c>
      <c r="X12">
        <f t="shared" si="19"/>
        <v>433.36175618374557</v>
      </c>
      <c r="Y12">
        <f t="shared" si="10"/>
        <v>0.56806134131748087</v>
      </c>
      <c r="Z12">
        <f t="shared" si="11"/>
        <v>978101.16068602318</v>
      </c>
      <c r="AA12">
        <f t="shared" si="12"/>
        <v>133.69210178268551</v>
      </c>
      <c r="AB12" s="7">
        <f t="shared" si="13"/>
        <v>119.33543166067395</v>
      </c>
      <c r="AC12">
        <f t="shared" si="14"/>
        <v>48.423625955093634</v>
      </c>
      <c r="AD12">
        <v>-4</v>
      </c>
      <c r="AE12">
        <v>-3</v>
      </c>
      <c r="AF12">
        <v>3</v>
      </c>
      <c r="AG12">
        <v>2</v>
      </c>
      <c r="AH12">
        <f t="shared" si="15"/>
        <v>5.8077564065738108E-2</v>
      </c>
      <c r="AI12">
        <f t="shared" si="15"/>
        <v>3.8655831353907356E-2</v>
      </c>
      <c r="AJ12">
        <f t="shared" si="15"/>
        <v>3.8655831353907356E-2</v>
      </c>
      <c r="AK12">
        <f t="shared" si="15"/>
        <v>2.0384653162369731E-2</v>
      </c>
      <c r="AL12">
        <f t="shared" si="16"/>
        <v>0.15577387993592254</v>
      </c>
      <c r="AM12" s="7">
        <f t="shared" si="17"/>
        <v>70.499518244198768</v>
      </c>
    </row>
    <row r="13" spans="1:39" x14ac:dyDescent="0.25">
      <c r="B13">
        <v>9</v>
      </c>
      <c r="C13" s="16">
        <f>(9*60)+51</f>
        <v>591</v>
      </c>
      <c r="D13">
        <v>3478.424</v>
      </c>
      <c r="E13">
        <v>0</v>
      </c>
      <c r="F13">
        <f t="shared" si="3"/>
        <v>3478.424</v>
      </c>
      <c r="G13">
        <f t="shared" si="0"/>
        <v>4.4814487632479527E-2</v>
      </c>
      <c r="H13">
        <f t="shared" si="4"/>
        <v>3478.3791855123677</v>
      </c>
      <c r="I13" s="5">
        <f t="shared" si="5"/>
        <v>-6.6698144876322658</v>
      </c>
      <c r="J13" s="7">
        <f t="shared" si="6"/>
        <v>978084.73818551237</v>
      </c>
      <c r="K13" s="5">
        <v>6</v>
      </c>
      <c r="L13" s="5">
        <v>38</v>
      </c>
      <c r="M13" s="5">
        <v>28.81</v>
      </c>
      <c r="N13" s="8">
        <v>106</v>
      </c>
      <c r="O13" s="8">
        <v>33</v>
      </c>
      <c r="P13" s="8">
        <v>30.72</v>
      </c>
      <c r="Q13" s="9">
        <f t="shared" si="1"/>
        <v>-6.6413361111111104</v>
      </c>
      <c r="R13">
        <f t="shared" si="7"/>
        <v>106.55853333333333</v>
      </c>
      <c r="S13">
        <f t="shared" si="8"/>
        <v>-0.11591318187048484</v>
      </c>
      <c r="T13">
        <v>449</v>
      </c>
      <c r="U13">
        <f t="shared" si="2"/>
        <v>0.16784452296819788</v>
      </c>
      <c r="V13">
        <f t="shared" si="9"/>
        <v>448.83215547703179</v>
      </c>
      <c r="W13">
        <f t="shared" si="18"/>
        <v>43.83215547703179</v>
      </c>
      <c r="X13">
        <f t="shared" si="19"/>
        <v>440.3511554770318</v>
      </c>
      <c r="Y13">
        <f t="shared" si="10"/>
        <v>0.57613604428501752</v>
      </c>
      <c r="Z13">
        <f t="shared" si="11"/>
        <v>978101.16576926643</v>
      </c>
      <c r="AA13">
        <f t="shared" si="12"/>
        <v>135.84833146466431</v>
      </c>
      <c r="AB13" s="7">
        <f t="shared" si="13"/>
        <v>119.42074771060166</v>
      </c>
      <c r="AC13">
        <f t="shared" si="14"/>
        <v>49.204617937425787</v>
      </c>
      <c r="AD13">
        <v>-3</v>
      </c>
      <c r="AE13">
        <v>2</v>
      </c>
      <c r="AF13">
        <v>1</v>
      </c>
      <c r="AG13">
        <v>-2</v>
      </c>
      <c r="AH13">
        <f t="shared" si="15"/>
        <v>3.8655831353907356E-2</v>
      </c>
      <c r="AI13">
        <f t="shared" si="15"/>
        <v>2.0384653162369731E-2</v>
      </c>
      <c r="AJ13">
        <f t="shared" si="15"/>
        <v>5.905047403128365E-3</v>
      </c>
      <c r="AK13">
        <f t="shared" si="15"/>
        <v>2.0384653162369731E-2</v>
      </c>
      <c r="AL13">
        <f t="shared" si="16"/>
        <v>8.5330185081775187E-2</v>
      </c>
      <c r="AM13" s="7">
        <f t="shared" si="17"/>
        <v>69.72532391397263</v>
      </c>
    </row>
    <row r="14" spans="1:39" x14ac:dyDescent="0.25">
      <c r="B14">
        <v>10</v>
      </c>
      <c r="C14" s="16">
        <f>(9*60)+56</f>
        <v>596</v>
      </c>
      <c r="D14">
        <v>3479.6219999999998</v>
      </c>
      <c r="E14">
        <v>0</v>
      </c>
      <c r="F14">
        <f t="shared" si="3"/>
        <v>3479.6219999999998</v>
      </c>
      <c r="G14">
        <f t="shared" si="0"/>
        <v>4.7173144876294239E-2</v>
      </c>
      <c r="H14">
        <f t="shared" si="4"/>
        <v>3479.5748268551238</v>
      </c>
      <c r="I14" s="5">
        <f t="shared" si="5"/>
        <v>-5.4741731448762039</v>
      </c>
      <c r="J14" s="7">
        <f t="shared" si="6"/>
        <v>978085.93382685515</v>
      </c>
      <c r="K14" s="5">
        <v>6</v>
      </c>
      <c r="L14" s="5">
        <v>38</v>
      </c>
      <c r="M14" s="8">
        <v>27.76</v>
      </c>
      <c r="N14" s="8">
        <v>106</v>
      </c>
      <c r="O14" s="8">
        <v>33</v>
      </c>
      <c r="P14" s="8">
        <v>24.43</v>
      </c>
      <c r="Q14" s="9">
        <f t="shared" si="1"/>
        <v>-6.6410444444444439</v>
      </c>
      <c r="R14">
        <f t="shared" si="7"/>
        <v>106.55678611111111</v>
      </c>
      <c r="S14">
        <f t="shared" si="8"/>
        <v>-0.11590809132683319</v>
      </c>
      <c r="T14">
        <v>446</v>
      </c>
      <c r="U14">
        <f t="shared" si="2"/>
        <v>0.17667844522968199</v>
      </c>
      <c r="V14">
        <f t="shared" si="9"/>
        <v>445.8233215547703</v>
      </c>
      <c r="W14">
        <f t="shared" si="18"/>
        <v>40.823321554770303</v>
      </c>
      <c r="X14">
        <f t="shared" si="19"/>
        <v>437.34232155477031</v>
      </c>
      <c r="Y14">
        <f t="shared" si="10"/>
        <v>0.57266423342249906</v>
      </c>
      <c r="Z14">
        <f t="shared" si="11"/>
        <v>978101.15970405412</v>
      </c>
      <c r="AA14">
        <f t="shared" si="12"/>
        <v>134.92010619964663</v>
      </c>
      <c r="AB14" s="7">
        <f t="shared" si="13"/>
        <v>119.69422900067389</v>
      </c>
      <c r="AC14">
        <f t="shared" si="14"/>
        <v>48.86841233936925</v>
      </c>
      <c r="AD14">
        <v>-4</v>
      </c>
      <c r="AE14">
        <v>3</v>
      </c>
      <c r="AF14">
        <v>-2</v>
      </c>
      <c r="AG14">
        <v>-3</v>
      </c>
      <c r="AH14">
        <f t="shared" si="15"/>
        <v>5.8077564065738108E-2</v>
      </c>
      <c r="AI14">
        <f t="shared" si="15"/>
        <v>3.8655831353907356E-2</v>
      </c>
      <c r="AJ14">
        <f t="shared" si="15"/>
        <v>2.0384653162369731E-2</v>
      </c>
      <c r="AK14">
        <f t="shared" si="15"/>
        <v>3.8655831353907356E-2</v>
      </c>
      <c r="AL14">
        <f t="shared" si="16"/>
        <v>0.15577387993592254</v>
      </c>
      <c r="AM14" s="7">
        <f t="shared" si="17"/>
        <v>70.408926307818049</v>
      </c>
    </row>
    <row r="15" spans="1:39" x14ac:dyDescent="0.25">
      <c r="B15">
        <v>11</v>
      </c>
      <c r="C15" s="16">
        <f>(10*60)+1</f>
        <v>601</v>
      </c>
      <c r="D15">
        <v>3478.6529999999998</v>
      </c>
      <c r="E15">
        <v>0</v>
      </c>
      <c r="F15">
        <f t="shared" si="3"/>
        <v>3478.6529999999998</v>
      </c>
      <c r="G15">
        <f t="shared" si="0"/>
        <v>4.953180212010895E-2</v>
      </c>
      <c r="H15">
        <f t="shared" si="4"/>
        <v>3478.6034681978795</v>
      </c>
      <c r="I15" s="5">
        <f t="shared" si="5"/>
        <v>-6.445531802120513</v>
      </c>
      <c r="J15" s="7">
        <f t="shared" si="6"/>
        <v>978084.96246819792</v>
      </c>
      <c r="K15" s="5">
        <v>6</v>
      </c>
      <c r="L15" s="5">
        <v>38</v>
      </c>
      <c r="M15" s="8">
        <v>30.36</v>
      </c>
      <c r="N15" s="8">
        <v>106</v>
      </c>
      <c r="O15" s="8">
        <v>33</v>
      </c>
      <c r="P15" s="8">
        <v>28.47</v>
      </c>
      <c r="Q15" s="9">
        <f t="shared" si="1"/>
        <v>-6.6417666666666664</v>
      </c>
      <c r="R15">
        <f t="shared" si="7"/>
        <v>106.55790833333333</v>
      </c>
      <c r="S15">
        <f t="shared" si="8"/>
        <v>-0.11592069648254204</v>
      </c>
      <c r="T15">
        <v>451</v>
      </c>
      <c r="U15">
        <f t="shared" si="2"/>
        <v>0.18551236749116609</v>
      </c>
      <c r="V15">
        <f t="shared" si="9"/>
        <v>450.81448763250881</v>
      </c>
      <c r="W15">
        <f t="shared" si="18"/>
        <v>45.814487632508815</v>
      </c>
      <c r="X15">
        <f t="shared" si="19"/>
        <v>442.33348763250882</v>
      </c>
      <c r="Y15">
        <f t="shared" si="10"/>
        <v>0.57841990820351197</v>
      </c>
      <c r="Z15">
        <f t="shared" si="11"/>
        <v>978101.17472315324</v>
      </c>
      <c r="AA15">
        <f t="shared" si="12"/>
        <v>136.45988093462896</v>
      </c>
      <c r="AB15" s="7">
        <f t="shared" si="13"/>
        <v>120.24762597931206</v>
      </c>
      <c r="AC15">
        <f t="shared" si="14"/>
        <v>49.426122741312717</v>
      </c>
      <c r="AD15">
        <v>-5</v>
      </c>
      <c r="AE15">
        <v>-6</v>
      </c>
      <c r="AF15">
        <v>1</v>
      </c>
      <c r="AG15">
        <v>1</v>
      </c>
      <c r="AH15">
        <f t="shared" si="15"/>
        <v>7.7480378373566541E-2</v>
      </c>
      <c r="AI15">
        <f t="shared" si="15"/>
        <v>9.6344027617202871E-2</v>
      </c>
      <c r="AJ15">
        <f t="shared" si="15"/>
        <v>5.905047403128365E-3</v>
      </c>
      <c r="AK15">
        <f t="shared" si="15"/>
        <v>5.905047403128365E-3</v>
      </c>
      <c r="AL15">
        <f t="shared" si="16"/>
        <v>0.18563450079702615</v>
      </c>
      <c r="AM15" s="7">
        <f t="shared" si="17"/>
        <v>70.428717830592845</v>
      </c>
    </row>
    <row r="16" spans="1:39" x14ac:dyDescent="0.25">
      <c r="B16">
        <v>12</v>
      </c>
      <c r="C16" s="16">
        <f>(10*60)+7</f>
        <v>607</v>
      </c>
      <c r="D16">
        <v>3478.2179999999998</v>
      </c>
      <c r="E16">
        <v>0</v>
      </c>
      <c r="F16">
        <f t="shared" si="3"/>
        <v>3478.2179999999998</v>
      </c>
      <c r="G16">
        <f t="shared" si="0"/>
        <v>5.2362190812686601E-2</v>
      </c>
      <c r="H16">
        <f t="shared" si="4"/>
        <v>3478.165637809187</v>
      </c>
      <c r="I16" s="5">
        <f t="shared" si="5"/>
        <v>-6.8833621908129317</v>
      </c>
      <c r="J16" s="7">
        <f t="shared" si="6"/>
        <v>978084.52463780926</v>
      </c>
      <c r="K16" s="5">
        <v>6</v>
      </c>
      <c r="L16" s="5">
        <v>38</v>
      </c>
      <c r="M16" s="8">
        <v>31.27</v>
      </c>
      <c r="N16" s="8">
        <v>106</v>
      </c>
      <c r="O16" s="8">
        <v>33</v>
      </c>
      <c r="P16" s="8">
        <v>26.65</v>
      </c>
      <c r="Q16" s="9">
        <f t="shared" si="1"/>
        <v>-6.6420194444444443</v>
      </c>
      <c r="R16">
        <f t="shared" si="7"/>
        <v>106.55740277777778</v>
      </c>
      <c r="S16">
        <f t="shared" si="8"/>
        <v>-0.11592510828704014</v>
      </c>
      <c r="T16">
        <v>454</v>
      </c>
      <c r="U16">
        <f t="shared" si="2"/>
        <v>0.196113074204947</v>
      </c>
      <c r="V16">
        <f t="shared" si="9"/>
        <v>453.80388692579504</v>
      </c>
      <c r="W16">
        <f t="shared" si="18"/>
        <v>48.803886925795041</v>
      </c>
      <c r="X16">
        <f t="shared" si="19"/>
        <v>445.32288692579505</v>
      </c>
      <c r="Y16">
        <f t="shared" si="10"/>
        <v>0.58185877423562737</v>
      </c>
      <c r="Z16">
        <f t="shared" si="11"/>
        <v>978101.1799802169</v>
      </c>
      <c r="AA16">
        <f t="shared" si="12"/>
        <v>137.38211061660778</v>
      </c>
      <c r="AB16" s="7">
        <f t="shared" si="13"/>
        <v>120.72676820896677</v>
      </c>
      <c r="AC16">
        <f t="shared" si="14"/>
        <v>49.760156723644869</v>
      </c>
      <c r="AD16">
        <v>0</v>
      </c>
      <c r="AE16">
        <v>2</v>
      </c>
      <c r="AF16">
        <v>-6</v>
      </c>
      <c r="AG16">
        <v>-5</v>
      </c>
      <c r="AH16">
        <f t="shared" si="15"/>
        <v>0</v>
      </c>
      <c r="AI16">
        <f t="shared" si="15"/>
        <v>2.0384653162369731E-2</v>
      </c>
      <c r="AJ16">
        <f t="shared" si="15"/>
        <v>9.6344027617202871E-2</v>
      </c>
      <c r="AK16">
        <f t="shared" si="15"/>
        <v>7.7480378373566541E-2</v>
      </c>
      <c r="AL16">
        <f t="shared" si="16"/>
        <v>0.19420905915313913</v>
      </c>
      <c r="AM16" s="7">
        <f t="shared" si="17"/>
        <v>70.578961770239417</v>
      </c>
    </row>
    <row r="17" spans="2:39" x14ac:dyDescent="0.25">
      <c r="B17">
        <v>13</v>
      </c>
      <c r="C17" s="16">
        <f>(10*60)+14</f>
        <v>614</v>
      </c>
      <c r="D17">
        <v>3481.7710000000002</v>
      </c>
      <c r="E17">
        <v>0</v>
      </c>
      <c r="F17">
        <f t="shared" si="3"/>
        <v>3481.7710000000002</v>
      </c>
      <c r="G17">
        <f t="shared" si="0"/>
        <v>5.5664310954027199E-2</v>
      </c>
      <c r="H17">
        <f t="shared" si="4"/>
        <v>3481.7153356890462</v>
      </c>
      <c r="I17" s="5">
        <f t="shared" si="5"/>
        <v>-3.3336643109537363</v>
      </c>
      <c r="J17" s="7">
        <f t="shared" si="6"/>
        <v>978088.07433568907</v>
      </c>
      <c r="K17" s="5">
        <v>6</v>
      </c>
      <c r="L17" s="5">
        <v>38</v>
      </c>
      <c r="M17" s="8">
        <v>32.07</v>
      </c>
      <c r="N17" s="8">
        <v>106</v>
      </c>
      <c r="O17" s="8">
        <v>33</v>
      </c>
      <c r="P17" s="8">
        <v>25.58</v>
      </c>
      <c r="Q17" s="9">
        <f t="shared" si="1"/>
        <v>-6.6422416666666662</v>
      </c>
      <c r="R17">
        <f t="shared" si="7"/>
        <v>106.55710555555555</v>
      </c>
      <c r="S17">
        <f t="shared" si="8"/>
        <v>-0.11592898679648901</v>
      </c>
      <c r="T17">
        <v>437</v>
      </c>
      <c r="U17">
        <f t="shared" si="2"/>
        <v>0.20848056537102475</v>
      </c>
      <c r="V17">
        <f t="shared" si="9"/>
        <v>436.79151943462898</v>
      </c>
      <c r="W17">
        <f t="shared" si="18"/>
        <v>31.791519434628981</v>
      </c>
      <c r="X17">
        <f t="shared" si="19"/>
        <v>428.31051943462899</v>
      </c>
      <c r="Y17">
        <f t="shared" si="10"/>
        <v>0.56220427347226776</v>
      </c>
      <c r="Z17">
        <f t="shared" si="11"/>
        <v>978101.18460197374</v>
      </c>
      <c r="AA17">
        <f t="shared" si="12"/>
        <v>132.13379524558303</v>
      </c>
      <c r="AB17" s="7">
        <f t="shared" si="13"/>
        <v>119.02352896091514</v>
      </c>
      <c r="AC17">
        <f t="shared" si="14"/>
        <v>47.85920328636572</v>
      </c>
      <c r="AD17">
        <v>-3</v>
      </c>
      <c r="AE17">
        <v>-2</v>
      </c>
      <c r="AF17">
        <v>5</v>
      </c>
      <c r="AG17">
        <v>3</v>
      </c>
      <c r="AH17">
        <f t="shared" si="15"/>
        <v>3.8655831353907356E-2</v>
      </c>
      <c r="AI17">
        <f t="shared" si="15"/>
        <v>2.0384653162369731E-2</v>
      </c>
      <c r="AJ17">
        <f t="shared" si="15"/>
        <v>7.7480378373566541E-2</v>
      </c>
      <c r="AK17">
        <f t="shared" si="15"/>
        <v>3.8655831353907356E-2</v>
      </c>
      <c r="AL17">
        <f t="shared" si="16"/>
        <v>0.17517669424375099</v>
      </c>
      <c r="AM17" s="7">
        <f t="shared" si="17"/>
        <v>70.777298095320901</v>
      </c>
    </row>
    <row r="18" spans="2:39" x14ac:dyDescent="0.25">
      <c r="B18">
        <v>14</v>
      </c>
      <c r="C18" s="16">
        <f>(10*60)+2</f>
        <v>602</v>
      </c>
      <c r="D18">
        <v>3480.1869999999999</v>
      </c>
      <c r="E18">
        <v>0</v>
      </c>
      <c r="F18">
        <f t="shared" si="3"/>
        <v>3480.1869999999999</v>
      </c>
      <c r="G18">
        <f t="shared" si="0"/>
        <v>5.000353356887189E-2</v>
      </c>
      <c r="H18">
        <f t="shared" si="4"/>
        <v>3480.1369964664309</v>
      </c>
      <c r="I18" s="5">
        <f t="shared" si="5"/>
        <v>-4.9120035335690773</v>
      </c>
      <c r="J18" s="7">
        <f t="shared" si="6"/>
        <v>978086.49599646649</v>
      </c>
      <c r="K18" s="5">
        <v>6</v>
      </c>
      <c r="L18" s="5">
        <v>38</v>
      </c>
      <c r="M18" s="8">
        <v>32.6</v>
      </c>
      <c r="N18" s="8">
        <v>106</v>
      </c>
      <c r="O18" s="8">
        <v>33</v>
      </c>
      <c r="P18" s="8">
        <v>24.35</v>
      </c>
      <c r="Q18" s="9">
        <f t="shared" si="1"/>
        <v>-6.6423888888888882</v>
      </c>
      <c r="R18">
        <f t="shared" si="7"/>
        <v>106.55676388888888</v>
      </c>
      <c r="S18">
        <f t="shared" si="8"/>
        <v>-0.11593155630899889</v>
      </c>
      <c r="T18">
        <v>445</v>
      </c>
      <c r="U18">
        <f t="shared" si="2"/>
        <v>0.1872791519434629</v>
      </c>
      <c r="V18">
        <f t="shared" si="9"/>
        <v>444.81272084805653</v>
      </c>
      <c r="W18">
        <f t="shared" si="18"/>
        <v>39.812720848056529</v>
      </c>
      <c r="X18">
        <f t="shared" si="19"/>
        <v>436.33172084805653</v>
      </c>
      <c r="Y18">
        <f t="shared" si="10"/>
        <v>0.57149669424569738</v>
      </c>
      <c r="Z18">
        <f t="shared" si="11"/>
        <v>978101.18766397133</v>
      </c>
      <c r="AA18">
        <f t="shared" si="12"/>
        <v>134.60833588162544</v>
      </c>
      <c r="AB18" s="7">
        <f t="shared" si="13"/>
        <v>119.91666837678397</v>
      </c>
      <c r="AC18">
        <f t="shared" si="14"/>
        <v>48.755488321701407</v>
      </c>
      <c r="AD18">
        <v>-4</v>
      </c>
      <c r="AE18">
        <v>3</v>
      </c>
      <c r="AF18">
        <v>4</v>
      </c>
      <c r="AG18">
        <v>-3</v>
      </c>
      <c r="AH18">
        <f t="shared" si="15"/>
        <v>5.8077564065738108E-2</v>
      </c>
      <c r="AI18">
        <f t="shared" si="15"/>
        <v>3.8655831353907356E-2</v>
      </c>
      <c r="AJ18">
        <f t="shared" si="15"/>
        <v>5.8077564065738108E-2</v>
      </c>
      <c r="AK18">
        <f t="shared" si="15"/>
        <v>3.8655831353907356E-2</v>
      </c>
      <c r="AL18">
        <f t="shared" si="16"/>
        <v>0.19346679083929091</v>
      </c>
      <c r="AM18" s="7">
        <f t="shared" si="17"/>
        <v>70.783150151676168</v>
      </c>
    </row>
    <row r="19" spans="2:39" x14ac:dyDescent="0.25">
      <c r="B19">
        <v>15</v>
      </c>
      <c r="C19" s="16">
        <f>(11*60)+15</f>
        <v>675</v>
      </c>
      <c r="D19">
        <v>3478.915</v>
      </c>
      <c r="E19">
        <v>0</v>
      </c>
      <c r="F19">
        <f t="shared" si="3"/>
        <v>3478.915</v>
      </c>
      <c r="G19">
        <f t="shared" si="0"/>
        <v>8.4439929328566685E-2</v>
      </c>
      <c r="H19">
        <f t="shared" si="4"/>
        <v>3478.8305600706713</v>
      </c>
      <c r="I19" s="5">
        <f t="shared" si="5"/>
        <v>-6.2184399293287242</v>
      </c>
      <c r="J19" s="7">
        <f t="shared" si="6"/>
        <v>978085.18956007075</v>
      </c>
      <c r="K19" s="5">
        <v>6</v>
      </c>
      <c r="L19" s="5">
        <v>38</v>
      </c>
      <c r="M19" s="8">
        <v>33.97</v>
      </c>
      <c r="N19" s="8">
        <v>106</v>
      </c>
      <c r="O19" s="8">
        <v>33</v>
      </c>
      <c r="P19" s="8">
        <v>22.94</v>
      </c>
      <c r="Q19" s="9">
        <f t="shared" si="1"/>
        <v>-6.6427694444444443</v>
      </c>
      <c r="R19">
        <f t="shared" si="7"/>
        <v>106.55637222222222</v>
      </c>
      <c r="S19">
        <f t="shared" si="8"/>
        <v>-0.11593819825643011</v>
      </c>
      <c r="T19">
        <v>455</v>
      </c>
      <c r="U19">
        <f t="shared" si="2"/>
        <v>0.31625441696113077</v>
      </c>
      <c r="V19">
        <f t="shared" si="9"/>
        <v>454.68374558303884</v>
      </c>
      <c r="W19">
        <f t="shared" si="18"/>
        <v>49.683745583038842</v>
      </c>
      <c r="X19">
        <f t="shared" si="19"/>
        <v>446.20274558303885</v>
      </c>
      <c r="Y19">
        <f t="shared" si="10"/>
        <v>0.58286972027462025</v>
      </c>
      <c r="Z19">
        <f t="shared" si="11"/>
        <v>978101.19557925453</v>
      </c>
      <c r="AA19">
        <f t="shared" si="12"/>
        <v>137.65354701236748</v>
      </c>
      <c r="AB19" s="7">
        <f t="shared" si="13"/>
        <v>121.64752782858369</v>
      </c>
      <c r="AC19">
        <f t="shared" si="14"/>
        <v>49.858471690075966</v>
      </c>
      <c r="AD19">
        <v>4</v>
      </c>
      <c r="AE19">
        <v>3</v>
      </c>
      <c r="AF19">
        <v>-4</v>
      </c>
      <c r="AG19">
        <v>-5</v>
      </c>
      <c r="AH19">
        <f t="shared" si="15"/>
        <v>5.8077564065738108E-2</v>
      </c>
      <c r="AI19">
        <f t="shared" si="15"/>
        <v>3.8655831353907356E-2</v>
      </c>
      <c r="AJ19">
        <f t="shared" si="15"/>
        <v>5.8077564065738108E-2</v>
      </c>
      <c r="AK19">
        <f t="shared" si="15"/>
        <v>7.7480378373566541E-2</v>
      </c>
      <c r="AL19">
        <f t="shared" si="16"/>
        <v>0.23229133785895012</v>
      </c>
      <c r="AM19" s="7">
        <f t="shared" si="17"/>
        <v>71.43847775609207</v>
      </c>
    </row>
    <row r="20" spans="2:39" x14ac:dyDescent="0.25">
      <c r="B20" s="2" t="s">
        <v>3</v>
      </c>
      <c r="C20" s="16">
        <f>(17*60)+42</f>
        <v>1062</v>
      </c>
      <c r="D20">
        <v>3485.3159999999998</v>
      </c>
      <c r="E20">
        <v>0</v>
      </c>
      <c r="F20">
        <f t="shared" si="3"/>
        <v>3485.3159999999998</v>
      </c>
      <c r="G20">
        <f t="shared" si="0"/>
        <v>0.26699999999982538</v>
      </c>
      <c r="H20">
        <f t="shared" si="4"/>
        <v>3485.049</v>
      </c>
      <c r="I20" s="5">
        <f t="shared" si="5"/>
        <v>0</v>
      </c>
      <c r="J20" s="7">
        <f t="shared" si="6"/>
        <v>978091.40800000005</v>
      </c>
      <c r="K20" s="5">
        <v>6</v>
      </c>
      <c r="L20" s="5">
        <v>38</v>
      </c>
      <c r="M20" s="8">
        <v>26.9</v>
      </c>
      <c r="N20" s="8">
        <v>106</v>
      </c>
      <c r="O20" s="8">
        <v>33</v>
      </c>
      <c r="P20" s="8">
        <v>46.81</v>
      </c>
      <c r="Q20" s="9">
        <f t="shared" si="1"/>
        <v>-6.6408055555555547</v>
      </c>
      <c r="R20">
        <f t="shared" si="7"/>
        <v>106.56300277777777</v>
      </c>
      <c r="S20">
        <f t="shared" si="8"/>
        <v>-0.11590392192917565</v>
      </c>
      <c r="T20">
        <v>406</v>
      </c>
      <c r="U20">
        <f t="shared" si="2"/>
        <v>1</v>
      </c>
      <c r="V20">
        <f t="shared" si="9"/>
        <v>405</v>
      </c>
      <c r="W20">
        <f t="shared" si="18"/>
        <v>0</v>
      </c>
      <c r="X20">
        <v>396.51900000000001</v>
      </c>
      <c r="Y20">
        <f t="shared" si="10"/>
        <v>0.52492729067563015</v>
      </c>
      <c r="Z20">
        <f t="shared" si="11"/>
        <v>978101.15473655122</v>
      </c>
      <c r="AA20">
        <f t="shared" si="12"/>
        <v>122.3261115</v>
      </c>
      <c r="AB20" s="7">
        <f t="shared" si="13"/>
        <v>112.57937494883069</v>
      </c>
      <c r="AC20">
        <f t="shared" si="14"/>
        <v>44.306834800499999</v>
      </c>
      <c r="AD20">
        <v>3</v>
      </c>
      <c r="AE20">
        <v>5</v>
      </c>
      <c r="AF20">
        <v>3</v>
      </c>
      <c r="AG20">
        <v>-2</v>
      </c>
      <c r="AH20">
        <f t="shared" si="15"/>
        <v>3.8655831353907356E-2</v>
      </c>
      <c r="AI20">
        <f t="shared" si="15"/>
        <v>7.7480378373566541E-2</v>
      </c>
      <c r="AJ20">
        <f t="shared" si="15"/>
        <v>3.8655831353907356E-2</v>
      </c>
      <c r="AK20">
        <f t="shared" si="15"/>
        <v>2.0384653162369731E-2</v>
      </c>
      <c r="AL20">
        <f t="shared" si="16"/>
        <v>0.17517669424375099</v>
      </c>
      <c r="AM20" s="7">
        <f t="shared" si="17"/>
        <v>67.922789551898802</v>
      </c>
    </row>
  </sheetData>
  <mergeCells count="29">
    <mergeCell ref="AM1:AM3"/>
    <mergeCell ref="K2:M2"/>
    <mergeCell ref="N2:P2"/>
    <mergeCell ref="Q2:Q3"/>
    <mergeCell ref="R2:R3"/>
    <mergeCell ref="AA1:AA3"/>
    <mergeCell ref="AB1:AB3"/>
    <mergeCell ref="AC1:AC3"/>
    <mergeCell ref="AD1:AG2"/>
    <mergeCell ref="AH1:AK2"/>
    <mergeCell ref="AL1:AL3"/>
    <mergeCell ref="T1:T2"/>
    <mergeCell ref="U1:U2"/>
    <mergeCell ref="V1:V2"/>
    <mergeCell ref="W1:W2"/>
    <mergeCell ref="Y1:Y3"/>
    <mergeCell ref="Z1:Z3"/>
    <mergeCell ref="G1:G2"/>
    <mergeCell ref="H1:H2"/>
    <mergeCell ref="I1:I3"/>
    <mergeCell ref="J1:J2"/>
    <mergeCell ref="K1:R1"/>
    <mergeCell ref="S1:S2"/>
    <mergeCell ref="F1:F2"/>
    <mergeCell ref="A1:A3"/>
    <mergeCell ref="B1:B3"/>
    <mergeCell ref="C1:C2"/>
    <mergeCell ref="D1:D3"/>
    <mergeCell ref="E1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"/>
  <sheetViews>
    <sheetView topLeftCell="E1" zoomScale="80" zoomScaleNormal="80" workbookViewId="0">
      <selection activeCell="X5" sqref="X5"/>
    </sheetView>
  </sheetViews>
  <sheetFormatPr defaultRowHeight="15" x14ac:dyDescent="0.25"/>
  <cols>
    <col min="10" max="10" width="18.42578125" bestFit="1" customWidth="1"/>
    <col min="11" max="12" width="10.28515625" customWidth="1"/>
    <col min="17" max="17" width="16.42578125" customWidth="1"/>
    <col min="18" max="18" width="16.28515625" bestFit="1" customWidth="1"/>
    <col min="19" max="19" width="15.85546875" customWidth="1"/>
    <col min="20" max="20" width="12.5703125" bestFit="1" customWidth="1"/>
    <col min="21" max="21" width="12.5703125" customWidth="1"/>
    <col min="22" max="23" width="9.85546875" customWidth="1"/>
    <col min="28" max="28" width="10.5703125" bestFit="1" customWidth="1"/>
  </cols>
  <sheetData>
    <row r="1" spans="1:39" x14ac:dyDescent="0.25">
      <c r="A1" s="22" t="s">
        <v>2</v>
      </c>
      <c r="B1" s="22" t="s">
        <v>0</v>
      </c>
      <c r="C1" s="20" t="s">
        <v>4</v>
      </c>
      <c r="D1" s="22" t="s">
        <v>6</v>
      </c>
      <c r="E1" s="20" t="s">
        <v>7</v>
      </c>
      <c r="F1" s="20" t="s">
        <v>9</v>
      </c>
      <c r="G1" s="20" t="s">
        <v>7</v>
      </c>
      <c r="H1" s="20" t="s">
        <v>12</v>
      </c>
      <c r="I1" s="22" t="s">
        <v>13</v>
      </c>
      <c r="J1" s="23" t="s">
        <v>14</v>
      </c>
      <c r="K1" s="26" t="s">
        <v>15</v>
      </c>
      <c r="L1" s="26"/>
      <c r="M1" s="26"/>
      <c r="N1" s="26"/>
      <c r="O1" s="26"/>
      <c r="P1" s="26"/>
      <c r="Q1" s="26"/>
      <c r="R1" s="26"/>
      <c r="S1" s="20" t="s">
        <v>21</v>
      </c>
      <c r="T1" s="20" t="s">
        <v>26</v>
      </c>
      <c r="U1" s="20" t="s">
        <v>12</v>
      </c>
      <c r="V1" s="20" t="s">
        <v>23</v>
      </c>
      <c r="W1" s="20" t="s">
        <v>25</v>
      </c>
      <c r="X1" s="14" t="b">
        <v>1</v>
      </c>
      <c r="Y1" s="22" t="s">
        <v>28</v>
      </c>
      <c r="Z1" s="22" t="s">
        <v>29</v>
      </c>
      <c r="AA1" s="22" t="s">
        <v>30</v>
      </c>
      <c r="AB1" s="22" t="s">
        <v>31</v>
      </c>
      <c r="AC1" s="22" t="s">
        <v>32</v>
      </c>
      <c r="AD1" s="22" t="s">
        <v>37</v>
      </c>
      <c r="AE1" s="22"/>
      <c r="AF1" s="22"/>
      <c r="AG1" s="22"/>
      <c r="AH1" s="22" t="s">
        <v>38</v>
      </c>
      <c r="AI1" s="22"/>
      <c r="AJ1" s="22"/>
      <c r="AK1" s="22"/>
      <c r="AL1" s="22" t="s">
        <v>39</v>
      </c>
      <c r="AM1" s="22" t="s">
        <v>40</v>
      </c>
    </row>
    <row r="2" spans="1:39" x14ac:dyDescent="0.25">
      <c r="A2" s="22"/>
      <c r="B2" s="22"/>
      <c r="C2" s="21"/>
      <c r="D2" s="22"/>
      <c r="E2" s="21"/>
      <c r="F2" s="21"/>
      <c r="G2" s="21"/>
      <c r="H2" s="21"/>
      <c r="I2" s="22"/>
      <c r="J2" s="24"/>
      <c r="K2" s="25" t="s">
        <v>16</v>
      </c>
      <c r="L2" s="25"/>
      <c r="M2" s="25"/>
      <c r="N2" s="25" t="s">
        <v>17</v>
      </c>
      <c r="O2" s="25"/>
      <c r="P2" s="25"/>
      <c r="Q2" s="25" t="s">
        <v>16</v>
      </c>
      <c r="R2" s="25" t="s">
        <v>17</v>
      </c>
      <c r="S2" s="21"/>
      <c r="T2" s="21"/>
      <c r="U2" s="21"/>
      <c r="V2" s="21"/>
      <c r="W2" s="21"/>
      <c r="X2" s="15" t="s">
        <v>23</v>
      </c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</row>
    <row r="3" spans="1:39" x14ac:dyDescent="0.25">
      <c r="A3" s="22"/>
      <c r="B3" s="22"/>
      <c r="C3" s="11" t="s">
        <v>5</v>
      </c>
      <c r="D3" s="22"/>
      <c r="E3" s="11" t="s">
        <v>8</v>
      </c>
      <c r="F3" s="12" t="s">
        <v>11</v>
      </c>
      <c r="G3" s="11" t="s">
        <v>12</v>
      </c>
      <c r="H3" s="11" t="s">
        <v>10</v>
      </c>
      <c r="I3" s="22"/>
      <c r="J3" s="13">
        <v>978091.40800000005</v>
      </c>
      <c r="K3" s="10" t="s">
        <v>18</v>
      </c>
      <c r="L3" s="10" t="s">
        <v>19</v>
      </c>
      <c r="M3" s="10" t="s">
        <v>20</v>
      </c>
      <c r="N3" s="10" t="s">
        <v>18</v>
      </c>
      <c r="O3" s="10" t="s">
        <v>19</v>
      </c>
      <c r="P3" s="10" t="s">
        <v>20</v>
      </c>
      <c r="Q3" s="25"/>
      <c r="R3" s="25"/>
      <c r="S3" s="11" t="s">
        <v>22</v>
      </c>
      <c r="T3" s="11" t="s">
        <v>27</v>
      </c>
      <c r="U3" s="11" t="s">
        <v>23</v>
      </c>
      <c r="V3" s="11" t="s">
        <v>11</v>
      </c>
      <c r="W3" s="11" t="s">
        <v>23</v>
      </c>
      <c r="X3" s="11" t="s">
        <v>24</v>
      </c>
      <c r="Y3" s="22"/>
      <c r="Z3" s="22"/>
      <c r="AA3" s="22"/>
      <c r="AB3" s="22"/>
      <c r="AC3" s="22"/>
      <c r="AD3" s="10" t="s">
        <v>33</v>
      </c>
      <c r="AE3" s="10" t="s">
        <v>34</v>
      </c>
      <c r="AF3" s="10" t="s">
        <v>35</v>
      </c>
      <c r="AG3" s="10" t="s">
        <v>36</v>
      </c>
      <c r="AH3" s="10" t="s">
        <v>33</v>
      </c>
      <c r="AI3" s="10" t="s">
        <v>34</v>
      </c>
      <c r="AJ3" s="10" t="s">
        <v>35</v>
      </c>
      <c r="AK3" s="10" t="s">
        <v>36</v>
      </c>
      <c r="AL3" s="22"/>
      <c r="AM3" s="22"/>
    </row>
    <row r="4" spans="1:39" x14ac:dyDescent="0.25">
      <c r="B4" t="s">
        <v>41</v>
      </c>
      <c r="C4" s="16">
        <f>(9*60)+3</f>
        <v>543</v>
      </c>
      <c r="D4">
        <v>3485.7559999999999</v>
      </c>
      <c r="E4">
        <v>0</v>
      </c>
      <c r="F4">
        <f>D4+E4</f>
        <v>3485.7559999999999</v>
      </c>
      <c r="G4">
        <f t="shared" ref="G4:G21" si="0">(($F$21-$F$4)/($C$21-$C$4))*(C4-$C$4)</f>
        <v>0</v>
      </c>
      <c r="H4">
        <f>F4-G4</f>
        <v>3485.7559999999999</v>
      </c>
      <c r="I4" s="5">
        <f>H4-$H$4</f>
        <v>0</v>
      </c>
      <c r="J4" s="7">
        <f>I4+$J$3</f>
        <v>978091.40800000005</v>
      </c>
      <c r="K4" s="5">
        <v>6</v>
      </c>
      <c r="L4" s="5">
        <v>38</v>
      </c>
      <c r="M4" s="5">
        <v>27.09</v>
      </c>
      <c r="N4" s="8">
        <v>106</v>
      </c>
      <c r="O4" s="8">
        <v>33</v>
      </c>
      <c r="P4" s="8">
        <v>44.7</v>
      </c>
      <c r="Q4" s="9">
        <f t="shared" ref="Q4:Q21" si="1">-(K4+(L4/60)+(M4/3600))</f>
        <v>-6.6408583333333331</v>
      </c>
      <c r="R4">
        <f>(N4+(O4/60)+(P4/3600))</f>
        <v>106.56241666666666</v>
      </c>
      <c r="S4">
        <f>RADIANS(Q4)</f>
        <v>-0.11590484307516977</v>
      </c>
      <c r="T4">
        <v>426</v>
      </c>
      <c r="U4">
        <f t="shared" ref="U4:U21" si="2">(T$21-T$4)*(C4-C$4)/(C$21-C$4)</f>
        <v>0</v>
      </c>
      <c r="V4">
        <f>T4-U4</f>
        <v>426</v>
      </c>
      <c r="W4">
        <f>V4-V$4</f>
        <v>0</v>
      </c>
      <c r="X4">
        <v>396.51900000000001</v>
      </c>
      <c r="Y4">
        <f>(0.0004462*X4/0.3048)-(0.00000003282*(X4^2)/(0.3048^2))+(0.00000000000000127*(X4^3)/(0.3048^3))</f>
        <v>0.52492729067563015</v>
      </c>
      <c r="Z4">
        <f>978031.8*(1+0.0053024*(SIN(S4))^2)+0.0000058*(SIN(2*S4))^2</f>
        <v>978101.15583400766</v>
      </c>
      <c r="AA4">
        <f>0.3085*X4</f>
        <v>122.3261115</v>
      </c>
      <c r="AB4" s="7">
        <f>J4-Z4+AA4</f>
        <v>112.57827749239502</v>
      </c>
      <c r="AC4">
        <f>0.04185*2.67*X4</f>
        <v>44.306834800499999</v>
      </c>
      <c r="AD4">
        <v>3</v>
      </c>
      <c r="AE4">
        <v>5</v>
      </c>
      <c r="AF4">
        <v>3</v>
      </c>
      <c r="AG4">
        <v>-2</v>
      </c>
      <c r="AH4">
        <f>0.04191*(2.67/4)*((20-2)+SQRT((2^2+AD4^2))-SQRT((20^2+AD4^2)))</f>
        <v>3.8655831353907356E-2</v>
      </c>
      <c r="AI4">
        <f>0.04191*(2.67/4)*((20-2)+SQRT((2^2+AE4^2))-SQRT((20^2+AE4^2)))</f>
        <v>7.7480378373566541E-2</v>
      </c>
      <c r="AJ4">
        <f>0.04191*(2.67/4)*((20-2)+SQRT((2^2+AF4^2))-SQRT((20^2+AF4^2)))</f>
        <v>3.8655831353907356E-2</v>
      </c>
      <c r="AK4">
        <f>0.04191*(2.67/4)*((20-2)+SQRT((2^2+AG4^2))-SQRT((20^2+AG4^2)))</f>
        <v>2.0384653162369731E-2</v>
      </c>
      <c r="AL4">
        <f>SUM(AH4:AK4)</f>
        <v>0.17517669424375099</v>
      </c>
      <c r="AM4" s="7">
        <f>AB4-AC4+AL4-Y4</f>
        <v>67.921692095463129</v>
      </c>
    </row>
    <row r="5" spans="1:39" x14ac:dyDescent="0.25">
      <c r="B5">
        <v>-4</v>
      </c>
      <c r="C5" s="16">
        <f>(9*60)+42</f>
        <v>582</v>
      </c>
      <c r="D5">
        <v>3470.5149999999999</v>
      </c>
      <c r="E5">
        <v>0</v>
      </c>
      <c r="F5">
        <f t="shared" ref="F5:F21" si="3">D5+E5</f>
        <v>3470.5149999999999</v>
      </c>
      <c r="G5">
        <f t="shared" si="0"/>
        <v>3.9409090909120176E-2</v>
      </c>
      <c r="H5">
        <f t="shared" ref="H5:H21" si="4">F5-G5</f>
        <v>3470.4755909090909</v>
      </c>
      <c r="I5" s="5">
        <f t="shared" ref="I5:I21" si="5">H5-$H$4</f>
        <v>-15.280409090908961</v>
      </c>
      <c r="J5" s="7">
        <f t="shared" ref="J5:J21" si="6">I5+$J$3</f>
        <v>978076.12759090913</v>
      </c>
      <c r="K5" s="5">
        <v>6</v>
      </c>
      <c r="L5" s="5">
        <v>38</v>
      </c>
      <c r="M5" s="5">
        <v>46.77</v>
      </c>
      <c r="N5" s="8">
        <v>106</v>
      </c>
      <c r="O5" s="8">
        <v>34</v>
      </c>
      <c r="P5" s="8">
        <v>8.26</v>
      </c>
      <c r="Q5" s="9">
        <f t="shared" si="1"/>
        <v>-6.6463249999999992</v>
      </c>
      <c r="R5">
        <f t="shared" ref="R5:R21" si="7">(N5+(O5/60)+(P5/3600))</f>
        <v>106.56896111111111</v>
      </c>
      <c r="S5">
        <f t="shared" ref="S5:S21" si="8">RADIANS(Q5)</f>
        <v>-0.11600025440761211</v>
      </c>
      <c r="T5">
        <v>490</v>
      </c>
      <c r="U5">
        <f t="shared" si="2"/>
        <v>2.7272727272727271</v>
      </c>
      <c r="V5">
        <f t="shared" ref="V5:V21" si="9">T5-U5</f>
        <v>487.27272727272725</v>
      </c>
      <c r="W5">
        <f>V5-V$4</f>
        <v>61.272727272727252</v>
      </c>
      <c r="X5">
        <f>X$4+W5</f>
        <v>457.79172727272726</v>
      </c>
      <c r="Y5">
        <f t="shared" ref="Y5:Y21" si="10">(0.0004462*X5/0.3048)-(0.00000003282*(X5^2)/(0.3048^2))+(0.00000000000000127*(X5^3)/(0.3048^3))</f>
        <v>0.59613426859501328</v>
      </c>
      <c r="Z5">
        <f t="shared" ref="Z5:Z21" si="11">978031.8*(1+0.0053024*(SIN(S5))^2)+0.0000058*(SIN(2*S5))^2</f>
        <v>978101.26955378288</v>
      </c>
      <c r="AA5">
        <f t="shared" ref="AA5:AA21" si="12">0.3085*X5</f>
        <v>141.22874786363636</v>
      </c>
      <c r="AB5" s="7">
        <f t="shared" ref="AB5:AB21" si="13">J5-Z5+AA5</f>
        <v>116.08678498988692</v>
      </c>
      <c r="AC5">
        <f t="shared" ref="AC5:AC21" si="14">0.04185*2.67*X5</f>
        <v>51.153418709590902</v>
      </c>
      <c r="AD5">
        <v>3</v>
      </c>
      <c r="AE5">
        <v>2</v>
      </c>
      <c r="AF5">
        <v>-4</v>
      </c>
      <c r="AG5">
        <v>-5</v>
      </c>
      <c r="AH5">
        <f t="shared" ref="AH5:AK21" si="15">0.04191*(2.67/4)*((20-2)+SQRT((2^2+AD5^2))-SQRT((20^2+AD5^2)))</f>
        <v>3.8655831353907356E-2</v>
      </c>
      <c r="AI5">
        <f t="shared" si="15"/>
        <v>2.0384653162369731E-2</v>
      </c>
      <c r="AJ5">
        <f t="shared" si="15"/>
        <v>5.8077564065738108E-2</v>
      </c>
      <c r="AK5">
        <f t="shared" si="15"/>
        <v>7.7480378373566541E-2</v>
      </c>
      <c r="AL5">
        <f t="shared" ref="AL5:AL21" si="16">SUM(AH5:AK5)</f>
        <v>0.19459842695558172</v>
      </c>
      <c r="AM5" s="7">
        <f>AB5-AC5+AL5-Y5</f>
        <v>64.531830438656584</v>
      </c>
    </row>
    <row r="6" spans="1:39" x14ac:dyDescent="0.25">
      <c r="B6">
        <v>-5</v>
      </c>
      <c r="C6" s="16">
        <f>(9*60)+47</f>
        <v>587</v>
      </c>
      <c r="D6">
        <v>3472.893</v>
      </c>
      <c r="E6">
        <v>0</v>
      </c>
      <c r="F6">
        <f t="shared" si="3"/>
        <v>3472.893</v>
      </c>
      <c r="G6">
        <f t="shared" si="0"/>
        <v>4.4461538461571484E-2</v>
      </c>
      <c r="H6">
        <f t="shared" si="4"/>
        <v>3472.8485384615383</v>
      </c>
      <c r="I6" s="5">
        <f t="shared" si="5"/>
        <v>-12.907461538461575</v>
      </c>
      <c r="J6" s="7">
        <f t="shared" si="6"/>
        <v>978078.50053846161</v>
      </c>
      <c r="K6" s="5">
        <v>6</v>
      </c>
      <c r="L6" s="5">
        <v>38</v>
      </c>
      <c r="M6" s="5">
        <v>47.38</v>
      </c>
      <c r="N6" s="8">
        <v>106</v>
      </c>
      <c r="O6" s="8">
        <v>34</v>
      </c>
      <c r="P6" s="8">
        <v>7.44</v>
      </c>
      <c r="Q6" s="9">
        <f t="shared" si="1"/>
        <v>-6.6464944444444436</v>
      </c>
      <c r="R6">
        <f t="shared" si="7"/>
        <v>106.56873333333333</v>
      </c>
      <c r="S6">
        <f t="shared" si="8"/>
        <v>-0.11600321177106687</v>
      </c>
      <c r="T6">
        <v>481</v>
      </c>
      <c r="U6">
        <f t="shared" si="2"/>
        <v>3.0769230769230771</v>
      </c>
      <c r="V6">
        <f t="shared" si="9"/>
        <v>477.92307692307691</v>
      </c>
      <c r="W6">
        <f>V6-V$4</f>
        <v>51.923076923076906</v>
      </c>
      <c r="X6">
        <f>X$4+W6</f>
        <v>448.44207692307691</v>
      </c>
      <c r="Y6">
        <f t="shared" si="10"/>
        <v>0.58544021542098146</v>
      </c>
      <c r="Z6">
        <f t="shared" si="11"/>
        <v>978101.27308010194</v>
      </c>
      <c r="AA6">
        <f t="shared" si="12"/>
        <v>138.34438073076922</v>
      </c>
      <c r="AB6" s="7">
        <f t="shared" si="13"/>
        <v>115.57183909044284</v>
      </c>
      <c r="AC6">
        <f t="shared" si="14"/>
        <v>50.108693454346145</v>
      </c>
      <c r="AD6">
        <v>2</v>
      </c>
      <c r="AE6">
        <v>3</v>
      </c>
      <c r="AF6">
        <v>-2</v>
      </c>
      <c r="AG6">
        <v>-3</v>
      </c>
      <c r="AH6">
        <f t="shared" si="15"/>
        <v>2.0384653162369731E-2</v>
      </c>
      <c r="AI6">
        <f t="shared" si="15"/>
        <v>3.8655831353907356E-2</v>
      </c>
      <c r="AJ6">
        <f t="shared" si="15"/>
        <v>2.0384653162369731E-2</v>
      </c>
      <c r="AK6">
        <f t="shared" si="15"/>
        <v>3.8655831353907356E-2</v>
      </c>
      <c r="AL6">
        <f t="shared" si="16"/>
        <v>0.11808096903255416</v>
      </c>
      <c r="AM6" s="7">
        <f t="shared" ref="AM6:AM21" si="17">AB6-AC6+AL6-Y6</f>
        <v>64.995786389708258</v>
      </c>
    </row>
    <row r="7" spans="1:39" x14ac:dyDescent="0.25">
      <c r="B7">
        <v>-6</v>
      </c>
      <c r="C7" s="16">
        <f>(9*60)+52</f>
        <v>592</v>
      </c>
      <c r="D7">
        <v>3475.116</v>
      </c>
      <c r="E7">
        <v>0</v>
      </c>
      <c r="F7">
        <f t="shared" si="3"/>
        <v>3475.116</v>
      </c>
      <c r="G7">
        <f t="shared" si="0"/>
        <v>4.9513986014022793E-2</v>
      </c>
      <c r="H7">
        <f t="shared" si="4"/>
        <v>3475.0664860139859</v>
      </c>
      <c r="I7" s="5">
        <f t="shared" si="5"/>
        <v>-10.689513986013935</v>
      </c>
      <c r="J7" s="7">
        <f t="shared" si="6"/>
        <v>978080.71848601406</v>
      </c>
      <c r="K7" s="5">
        <v>6</v>
      </c>
      <c r="L7" s="5">
        <v>38</v>
      </c>
      <c r="M7" s="5">
        <v>48</v>
      </c>
      <c r="N7" s="8">
        <v>106</v>
      </c>
      <c r="O7" s="8">
        <v>34</v>
      </c>
      <c r="P7" s="8">
        <v>5.3</v>
      </c>
      <c r="Q7" s="9">
        <f t="shared" si="1"/>
        <v>-6.6466666666666665</v>
      </c>
      <c r="R7">
        <f t="shared" si="7"/>
        <v>106.56813888888888</v>
      </c>
      <c r="S7">
        <f t="shared" si="8"/>
        <v>-0.11600621761588976</v>
      </c>
      <c r="T7">
        <v>471</v>
      </c>
      <c r="U7">
        <f t="shared" si="2"/>
        <v>3.4265734265734267</v>
      </c>
      <c r="V7">
        <f t="shared" si="9"/>
        <v>467.57342657342656</v>
      </c>
      <c r="W7">
        <f t="shared" ref="W7:W21" si="18">V7-V$4</f>
        <v>41.573426573426559</v>
      </c>
      <c r="X7">
        <f t="shared" ref="X7:X20" si="19">X$4+W7</f>
        <v>438.09242657342656</v>
      </c>
      <c r="Y7">
        <f t="shared" si="10"/>
        <v>0.57353035745347092</v>
      </c>
      <c r="Z7">
        <f t="shared" si="11"/>
        <v>978101.27666431991</v>
      </c>
      <c r="AA7">
        <f t="shared" si="12"/>
        <v>135.1515135979021</v>
      </c>
      <c r="AB7" s="7">
        <f t="shared" si="13"/>
        <v>114.59333529204335</v>
      </c>
      <c r="AC7">
        <f t="shared" si="14"/>
        <v>48.952228699101397</v>
      </c>
      <c r="AD7">
        <v>3</v>
      </c>
      <c r="AE7">
        <v>2</v>
      </c>
      <c r="AF7">
        <v>-3</v>
      </c>
      <c r="AG7">
        <v>-1</v>
      </c>
      <c r="AH7">
        <f t="shared" si="15"/>
        <v>3.8655831353907356E-2</v>
      </c>
      <c r="AI7">
        <f t="shared" si="15"/>
        <v>2.0384653162369731E-2</v>
      </c>
      <c r="AJ7">
        <f t="shared" si="15"/>
        <v>3.8655831353907356E-2</v>
      </c>
      <c r="AK7">
        <f t="shared" si="15"/>
        <v>5.905047403128365E-3</v>
      </c>
      <c r="AL7">
        <f t="shared" si="16"/>
        <v>0.1036013632733128</v>
      </c>
      <c r="AM7" s="7">
        <f t="shared" si="17"/>
        <v>65.171177598761801</v>
      </c>
    </row>
    <row r="8" spans="1:39" x14ac:dyDescent="0.25">
      <c r="B8">
        <v>-7</v>
      </c>
      <c r="C8" s="16">
        <f>(9*60)+56</f>
        <v>596</v>
      </c>
      <c r="D8">
        <v>3476.1610000000001</v>
      </c>
      <c r="E8">
        <v>0</v>
      </c>
      <c r="F8">
        <f t="shared" si="3"/>
        <v>3476.1610000000001</v>
      </c>
      <c r="G8">
        <f t="shared" si="0"/>
        <v>5.3555944055983837E-2</v>
      </c>
      <c r="H8">
        <f t="shared" si="4"/>
        <v>3476.1074440559441</v>
      </c>
      <c r="I8" s="5">
        <f t="shared" si="5"/>
        <v>-9.6485559440557154</v>
      </c>
      <c r="J8" s="7">
        <f t="shared" si="6"/>
        <v>978081.75944405596</v>
      </c>
      <c r="K8" s="5">
        <v>6</v>
      </c>
      <c r="L8" s="5">
        <v>38</v>
      </c>
      <c r="M8" s="5">
        <v>49.17</v>
      </c>
      <c r="N8" s="8">
        <v>106</v>
      </c>
      <c r="O8" s="8">
        <v>34</v>
      </c>
      <c r="P8" s="8">
        <v>3.29</v>
      </c>
      <c r="Q8" s="9">
        <f t="shared" si="1"/>
        <v>-6.6469916666666666</v>
      </c>
      <c r="R8">
        <f t="shared" si="7"/>
        <v>106.56758055555555</v>
      </c>
      <c r="S8">
        <f t="shared" si="8"/>
        <v>-0.11601188993595875</v>
      </c>
      <c r="T8">
        <v>468</v>
      </c>
      <c r="U8">
        <f t="shared" si="2"/>
        <v>3.7062937062937062</v>
      </c>
      <c r="V8">
        <f t="shared" si="9"/>
        <v>464.29370629370629</v>
      </c>
      <c r="W8">
        <f t="shared" si="18"/>
        <v>38.293706293706293</v>
      </c>
      <c r="X8">
        <f t="shared" si="19"/>
        <v>434.8127062937063</v>
      </c>
      <c r="Y8">
        <f t="shared" si="10"/>
        <v>0.56974043125633922</v>
      </c>
      <c r="Z8">
        <f t="shared" si="11"/>
        <v>978101.28342833463</v>
      </c>
      <c r="AA8">
        <f t="shared" si="12"/>
        <v>134.13971989160839</v>
      </c>
      <c r="AB8" s="7">
        <f t="shared" si="13"/>
        <v>114.61573561293974</v>
      </c>
      <c r="AC8">
        <f t="shared" si="14"/>
        <v>48.585754394905592</v>
      </c>
      <c r="AD8">
        <v>-2</v>
      </c>
      <c r="AE8">
        <v>1</v>
      </c>
      <c r="AF8">
        <v>4</v>
      </c>
      <c r="AG8">
        <v>5</v>
      </c>
      <c r="AH8">
        <f t="shared" si="15"/>
        <v>2.0384653162369731E-2</v>
      </c>
      <c r="AI8">
        <f t="shared" si="15"/>
        <v>5.905047403128365E-3</v>
      </c>
      <c r="AJ8">
        <f t="shared" si="15"/>
        <v>5.8077564065738108E-2</v>
      </c>
      <c r="AK8">
        <f t="shared" si="15"/>
        <v>7.7480378373566541E-2</v>
      </c>
      <c r="AL8">
        <f t="shared" si="16"/>
        <v>0.16184764300480275</v>
      </c>
      <c r="AM8" s="7">
        <f t="shared" si="17"/>
        <v>65.622088429782622</v>
      </c>
    </row>
    <row r="9" spans="1:39" x14ac:dyDescent="0.25">
      <c r="B9">
        <v>-8</v>
      </c>
      <c r="C9" s="16">
        <f>(10*60)+3</f>
        <v>603</v>
      </c>
      <c r="D9">
        <v>3473.6840000000002</v>
      </c>
      <c r="E9">
        <v>0</v>
      </c>
      <c r="F9">
        <f t="shared" si="3"/>
        <v>3473.6840000000002</v>
      </c>
      <c r="G9">
        <f t="shared" si="0"/>
        <v>6.062937062941566E-2</v>
      </c>
      <c r="H9">
        <f t="shared" si="4"/>
        <v>3473.6233706293706</v>
      </c>
      <c r="I9" s="5">
        <f t="shared" si="5"/>
        <v>-12.132629370629274</v>
      </c>
      <c r="J9" s="7">
        <f t="shared" si="6"/>
        <v>978079.27537062939</v>
      </c>
      <c r="K9" s="5">
        <v>6</v>
      </c>
      <c r="L9" s="5">
        <v>38</v>
      </c>
      <c r="M9" s="5">
        <v>49.5</v>
      </c>
      <c r="N9" s="8">
        <v>106</v>
      </c>
      <c r="O9" s="8">
        <v>34</v>
      </c>
      <c r="P9" s="8">
        <v>2.2200000000000002</v>
      </c>
      <c r="Q9" s="9">
        <f t="shared" si="1"/>
        <v>-6.6470833333333328</v>
      </c>
      <c r="R9">
        <f t="shared" si="7"/>
        <v>106.56728333333334</v>
      </c>
      <c r="S9">
        <f t="shared" si="8"/>
        <v>-0.1160134898211064</v>
      </c>
      <c r="T9">
        <v>477</v>
      </c>
      <c r="U9">
        <f t="shared" si="2"/>
        <v>4.1958041958041958</v>
      </c>
      <c r="V9">
        <f t="shared" si="9"/>
        <v>472.80419580419579</v>
      </c>
      <c r="W9">
        <f t="shared" si="18"/>
        <v>46.804195804195786</v>
      </c>
      <c r="X9">
        <f t="shared" si="19"/>
        <v>443.32319580419579</v>
      </c>
      <c r="Y9">
        <f t="shared" si="10"/>
        <v>0.57955912153863487</v>
      </c>
      <c r="Z9">
        <f t="shared" si="11"/>
        <v>978101.28533619235</v>
      </c>
      <c r="AA9">
        <f t="shared" si="12"/>
        <v>136.7652059055944</v>
      </c>
      <c r="AB9" s="7">
        <f t="shared" si="13"/>
        <v>114.75524034263427</v>
      </c>
      <c r="AC9">
        <f t="shared" si="14"/>
        <v>49.536712237562931</v>
      </c>
      <c r="AD9">
        <v>-5</v>
      </c>
      <c r="AE9">
        <v>-4</v>
      </c>
      <c r="AF9">
        <v>2</v>
      </c>
      <c r="AG9">
        <v>3</v>
      </c>
      <c r="AH9">
        <f t="shared" si="15"/>
        <v>7.7480378373566541E-2</v>
      </c>
      <c r="AI9">
        <f t="shared" si="15"/>
        <v>5.8077564065738108E-2</v>
      </c>
      <c r="AJ9">
        <f t="shared" si="15"/>
        <v>2.0384653162369731E-2</v>
      </c>
      <c r="AK9">
        <f t="shared" si="15"/>
        <v>3.8655831353907356E-2</v>
      </c>
      <c r="AL9">
        <f t="shared" si="16"/>
        <v>0.19459842695558172</v>
      </c>
      <c r="AM9" s="7">
        <f t="shared" si="17"/>
        <v>64.833567410488271</v>
      </c>
    </row>
    <row r="10" spans="1:39" x14ac:dyDescent="0.25">
      <c r="B10">
        <v>-9</v>
      </c>
      <c r="C10" s="16">
        <f>(10*60)+8</f>
        <v>608</v>
      </c>
      <c r="D10">
        <v>3473.471</v>
      </c>
      <c r="E10">
        <v>0</v>
      </c>
      <c r="F10">
        <f t="shared" si="3"/>
        <v>3473.471</v>
      </c>
      <c r="G10">
        <f t="shared" si="0"/>
        <v>6.5681818181866969E-2</v>
      </c>
      <c r="H10">
        <f t="shared" si="4"/>
        <v>3473.4053181818181</v>
      </c>
      <c r="I10" s="5">
        <f t="shared" si="5"/>
        <v>-12.350681818181783</v>
      </c>
      <c r="J10" s="7">
        <f t="shared" si="6"/>
        <v>978079.05731818185</v>
      </c>
      <c r="K10" s="5">
        <v>6</v>
      </c>
      <c r="L10" s="5">
        <v>38</v>
      </c>
      <c r="M10" s="5">
        <v>50.81</v>
      </c>
      <c r="N10" s="8">
        <v>106</v>
      </c>
      <c r="O10" s="8">
        <v>34</v>
      </c>
      <c r="P10" s="8">
        <v>1.53</v>
      </c>
      <c r="Q10" s="9">
        <f t="shared" si="1"/>
        <v>-6.6474472222222216</v>
      </c>
      <c r="R10">
        <f t="shared" si="7"/>
        <v>106.56709166666667</v>
      </c>
      <c r="S10">
        <f t="shared" si="8"/>
        <v>-0.11601984088032893</v>
      </c>
      <c r="T10">
        <v>479</v>
      </c>
      <c r="U10">
        <f t="shared" si="2"/>
        <v>4.5454545454545459</v>
      </c>
      <c r="V10">
        <f t="shared" si="9"/>
        <v>474.45454545454544</v>
      </c>
      <c r="W10">
        <f t="shared" si="18"/>
        <v>48.454545454545439</v>
      </c>
      <c r="X10">
        <f t="shared" si="19"/>
        <v>444.97354545454544</v>
      </c>
      <c r="Y10">
        <f t="shared" si="10"/>
        <v>0.58145723380145531</v>
      </c>
      <c r="Z10">
        <f t="shared" si="11"/>
        <v>978101.2929100641</v>
      </c>
      <c r="AA10">
        <f t="shared" si="12"/>
        <v>137.27433877272728</v>
      </c>
      <c r="AB10" s="7">
        <f t="shared" si="13"/>
        <v>115.03874689046955</v>
      </c>
      <c r="AC10">
        <f t="shared" si="14"/>
        <v>49.721121482318175</v>
      </c>
      <c r="AD10">
        <v>2</v>
      </c>
      <c r="AE10">
        <v>1</v>
      </c>
      <c r="AF10">
        <v>-2</v>
      </c>
      <c r="AG10">
        <v>-3</v>
      </c>
      <c r="AH10">
        <f t="shared" si="15"/>
        <v>2.0384653162369731E-2</v>
      </c>
      <c r="AI10">
        <f t="shared" si="15"/>
        <v>5.905047403128365E-3</v>
      </c>
      <c r="AJ10">
        <f t="shared" si="15"/>
        <v>2.0384653162369731E-2</v>
      </c>
      <c r="AK10">
        <f t="shared" si="15"/>
        <v>3.8655831353907356E-2</v>
      </c>
      <c r="AL10">
        <f t="shared" si="16"/>
        <v>8.5330185081775173E-2</v>
      </c>
      <c r="AM10" s="7">
        <f t="shared" si="17"/>
        <v>64.821498359431686</v>
      </c>
    </row>
    <row r="11" spans="1:39" x14ac:dyDescent="0.25">
      <c r="B11">
        <v>-10</v>
      </c>
      <c r="C11" s="16">
        <f>(10*60)+17</f>
        <v>617</v>
      </c>
      <c r="D11">
        <v>3473.8510000000001</v>
      </c>
      <c r="E11">
        <v>0</v>
      </c>
      <c r="F11">
        <f t="shared" si="3"/>
        <v>3473.8510000000001</v>
      </c>
      <c r="G11">
        <f t="shared" si="0"/>
        <v>7.4776223776279321E-2</v>
      </c>
      <c r="H11">
        <f t="shared" si="4"/>
        <v>3473.776223776224</v>
      </c>
      <c r="I11" s="5">
        <f t="shared" si="5"/>
        <v>-11.979776223775843</v>
      </c>
      <c r="J11" s="7">
        <f t="shared" si="6"/>
        <v>978079.42822377628</v>
      </c>
      <c r="K11" s="5">
        <v>6</v>
      </c>
      <c r="L11" s="5">
        <v>38</v>
      </c>
      <c r="M11" s="5">
        <v>52.64</v>
      </c>
      <c r="N11" s="8">
        <v>106</v>
      </c>
      <c r="O11" s="8">
        <v>34</v>
      </c>
      <c r="P11" s="8">
        <v>0.82</v>
      </c>
      <c r="Q11" s="9">
        <f t="shared" si="1"/>
        <v>-6.647955555555555</v>
      </c>
      <c r="R11">
        <f t="shared" si="7"/>
        <v>106.56689444444444</v>
      </c>
      <c r="S11">
        <f t="shared" si="8"/>
        <v>-0.11602871297069324</v>
      </c>
      <c r="T11">
        <v>477</v>
      </c>
      <c r="U11">
        <f t="shared" si="2"/>
        <v>5.174825174825175</v>
      </c>
      <c r="V11">
        <f t="shared" si="9"/>
        <v>471.82517482517483</v>
      </c>
      <c r="W11">
        <f t="shared" si="18"/>
        <v>45.825174825174827</v>
      </c>
      <c r="X11">
        <f t="shared" si="19"/>
        <v>442.34417482517483</v>
      </c>
      <c r="Y11">
        <f t="shared" si="10"/>
        <v>0.57843221349750229</v>
      </c>
      <c r="Z11">
        <f t="shared" si="11"/>
        <v>978101.30349104002</v>
      </c>
      <c r="AA11">
        <f t="shared" si="12"/>
        <v>136.46317793356644</v>
      </c>
      <c r="AB11" s="7">
        <f t="shared" si="13"/>
        <v>114.58791066983173</v>
      </c>
      <c r="AC11">
        <f t="shared" si="14"/>
        <v>49.427316922877623</v>
      </c>
      <c r="AD11">
        <v>3</v>
      </c>
      <c r="AE11">
        <v>2</v>
      </c>
      <c r="AF11">
        <v>-3</v>
      </c>
      <c r="AG11">
        <v>-4</v>
      </c>
      <c r="AH11">
        <f t="shared" si="15"/>
        <v>3.8655831353907356E-2</v>
      </c>
      <c r="AI11">
        <f t="shared" si="15"/>
        <v>2.0384653162369731E-2</v>
      </c>
      <c r="AJ11">
        <f t="shared" si="15"/>
        <v>3.8655831353907356E-2</v>
      </c>
      <c r="AK11">
        <f t="shared" si="15"/>
        <v>5.8077564065738108E-2</v>
      </c>
      <c r="AL11">
        <f t="shared" si="16"/>
        <v>0.15577387993592257</v>
      </c>
      <c r="AM11" s="7">
        <f t="shared" si="17"/>
        <v>64.73793541339252</v>
      </c>
    </row>
    <row r="12" spans="1:39" x14ac:dyDescent="0.25">
      <c r="B12">
        <v>-11</v>
      </c>
      <c r="C12" s="16">
        <f>(10*60)+24</f>
        <v>624</v>
      </c>
      <c r="D12">
        <v>3477.817</v>
      </c>
      <c r="E12">
        <v>0</v>
      </c>
      <c r="F12">
        <f t="shared" si="3"/>
        <v>3477.817</v>
      </c>
      <c r="G12">
        <f t="shared" si="0"/>
        <v>8.1849650349711145E-2</v>
      </c>
      <c r="H12">
        <f t="shared" si="4"/>
        <v>3477.7351503496502</v>
      </c>
      <c r="I12" s="5">
        <f t="shared" si="5"/>
        <v>-8.0208496503496463</v>
      </c>
      <c r="J12" s="7">
        <f t="shared" si="6"/>
        <v>978083.38715034968</v>
      </c>
      <c r="K12" s="5">
        <v>6</v>
      </c>
      <c r="L12" s="5">
        <v>38</v>
      </c>
      <c r="M12" s="5">
        <v>53.64</v>
      </c>
      <c r="N12" s="8">
        <v>106</v>
      </c>
      <c r="O12" s="8">
        <v>33</v>
      </c>
      <c r="P12" s="8">
        <v>59.42</v>
      </c>
      <c r="Q12" s="9">
        <f t="shared" si="1"/>
        <v>-6.6482333333333328</v>
      </c>
      <c r="R12">
        <f t="shared" si="7"/>
        <v>106.56650555555555</v>
      </c>
      <c r="S12">
        <f t="shared" si="8"/>
        <v>-0.11603356110750433</v>
      </c>
      <c r="T12">
        <v>459</v>
      </c>
      <c r="U12">
        <f t="shared" si="2"/>
        <v>5.6643356643356642</v>
      </c>
      <c r="V12">
        <f t="shared" si="9"/>
        <v>453.33566433566432</v>
      </c>
      <c r="W12">
        <f t="shared" si="18"/>
        <v>27.335664335664319</v>
      </c>
      <c r="X12">
        <f t="shared" si="19"/>
        <v>423.85466433566432</v>
      </c>
      <c r="Y12">
        <f t="shared" si="10"/>
        <v>0.55702260644641821</v>
      </c>
      <c r="Z12">
        <f t="shared" si="11"/>
        <v>978101.30927332968</v>
      </c>
      <c r="AA12">
        <f t="shared" si="12"/>
        <v>130.75916394755245</v>
      </c>
      <c r="AB12" s="7">
        <f t="shared" si="13"/>
        <v>112.83704096755014</v>
      </c>
      <c r="AC12">
        <f t="shared" si="14"/>
        <v>47.361308265534959</v>
      </c>
      <c r="AD12">
        <v>5</v>
      </c>
      <c r="AE12">
        <v>4</v>
      </c>
      <c r="AF12">
        <v>-4</v>
      </c>
      <c r="AG12">
        <v>-5</v>
      </c>
      <c r="AH12">
        <f t="shared" si="15"/>
        <v>7.7480378373566541E-2</v>
      </c>
      <c r="AI12">
        <f t="shared" si="15"/>
        <v>5.8077564065738108E-2</v>
      </c>
      <c r="AJ12">
        <f t="shared" si="15"/>
        <v>5.8077564065738108E-2</v>
      </c>
      <c r="AK12">
        <f t="shared" si="15"/>
        <v>7.7480378373566541E-2</v>
      </c>
      <c r="AL12">
        <f t="shared" si="16"/>
        <v>0.27111588487860927</v>
      </c>
      <c r="AM12" s="7">
        <f t="shared" si="17"/>
        <v>65.189825980447367</v>
      </c>
    </row>
    <row r="13" spans="1:39" x14ac:dyDescent="0.25">
      <c r="B13">
        <v>-12</v>
      </c>
      <c r="C13" s="16">
        <f>(10*60)+3</f>
        <v>603</v>
      </c>
      <c r="D13">
        <v>3482.5479999999998</v>
      </c>
      <c r="E13">
        <v>0</v>
      </c>
      <c r="F13">
        <f t="shared" si="3"/>
        <v>3482.5479999999998</v>
      </c>
      <c r="G13">
        <f t="shared" si="0"/>
        <v>6.062937062941566E-2</v>
      </c>
      <c r="H13">
        <f t="shared" si="4"/>
        <v>3482.4873706293702</v>
      </c>
      <c r="I13" s="5">
        <f t="shared" si="5"/>
        <v>-3.2686293706296965</v>
      </c>
      <c r="J13" s="7">
        <f t="shared" si="6"/>
        <v>978088.13937062945</v>
      </c>
      <c r="K13" s="5">
        <v>6</v>
      </c>
      <c r="L13" s="5">
        <v>38</v>
      </c>
      <c r="M13" s="5">
        <v>53.14</v>
      </c>
      <c r="N13" s="8">
        <v>106</v>
      </c>
      <c r="O13" s="8">
        <v>33</v>
      </c>
      <c r="P13" s="8">
        <v>56.92</v>
      </c>
      <c r="Q13" s="9">
        <f t="shared" si="1"/>
        <v>-6.6480944444444443</v>
      </c>
      <c r="R13">
        <f t="shared" si="7"/>
        <v>106.5658111111111</v>
      </c>
      <c r="S13">
        <f t="shared" si="8"/>
        <v>-0.1160311370390988</v>
      </c>
      <c r="T13">
        <v>436</v>
      </c>
      <c r="U13">
        <f t="shared" si="2"/>
        <v>4.1958041958041958</v>
      </c>
      <c r="V13">
        <f t="shared" si="9"/>
        <v>431.80419580419579</v>
      </c>
      <c r="W13">
        <f t="shared" si="18"/>
        <v>5.8041958041957855</v>
      </c>
      <c r="X13">
        <f t="shared" si="19"/>
        <v>402.32319580419579</v>
      </c>
      <c r="Y13">
        <f t="shared" si="10"/>
        <v>0.53178624824205312</v>
      </c>
      <c r="Z13">
        <f t="shared" si="11"/>
        <v>978101.30638215528</v>
      </c>
      <c r="AA13">
        <f t="shared" si="12"/>
        <v>124.1167059055944</v>
      </c>
      <c r="AB13" s="7">
        <f t="shared" si="13"/>
        <v>110.94969437976322</v>
      </c>
      <c r="AC13">
        <f t="shared" si="14"/>
        <v>44.955392737562931</v>
      </c>
      <c r="AD13">
        <v>4</v>
      </c>
      <c r="AE13">
        <v>3</v>
      </c>
      <c r="AF13">
        <v>-2</v>
      </c>
      <c r="AG13">
        <v>-1</v>
      </c>
      <c r="AH13">
        <f t="shared" si="15"/>
        <v>5.8077564065738108E-2</v>
      </c>
      <c r="AI13">
        <f t="shared" si="15"/>
        <v>3.8655831353907356E-2</v>
      </c>
      <c r="AJ13">
        <f t="shared" si="15"/>
        <v>2.0384653162369731E-2</v>
      </c>
      <c r="AK13">
        <f t="shared" si="15"/>
        <v>5.905047403128365E-3</v>
      </c>
      <c r="AL13">
        <f t="shared" si="16"/>
        <v>0.12302309598514355</v>
      </c>
      <c r="AM13" s="7">
        <f t="shared" si="17"/>
        <v>65.585538489943374</v>
      </c>
    </row>
    <row r="14" spans="1:39" x14ac:dyDescent="0.25">
      <c r="B14">
        <v>-13</v>
      </c>
      <c r="C14" s="16">
        <f>(11*60)+15</f>
        <v>675</v>
      </c>
      <c r="D14">
        <v>3481.683</v>
      </c>
      <c r="E14">
        <v>0</v>
      </c>
      <c r="F14">
        <f t="shared" si="3"/>
        <v>3481.683</v>
      </c>
      <c r="G14">
        <f t="shared" si="0"/>
        <v>0.13338461538471447</v>
      </c>
      <c r="H14">
        <f t="shared" si="4"/>
        <v>3481.5496153846152</v>
      </c>
      <c r="I14" s="5">
        <f t="shared" si="5"/>
        <v>-4.2063846153846498</v>
      </c>
      <c r="J14" s="7">
        <f t="shared" si="6"/>
        <v>978087.20161538466</v>
      </c>
      <c r="K14" s="5">
        <v>6</v>
      </c>
      <c r="L14" s="5">
        <v>38</v>
      </c>
      <c r="M14" s="5">
        <v>53.35</v>
      </c>
      <c r="N14" s="8">
        <v>106</v>
      </c>
      <c r="O14" s="8">
        <v>33</v>
      </c>
      <c r="P14" s="8">
        <v>55.17</v>
      </c>
      <c r="Q14" s="9">
        <f t="shared" si="1"/>
        <v>-6.6481527777777769</v>
      </c>
      <c r="R14">
        <f t="shared" si="7"/>
        <v>106.565325</v>
      </c>
      <c r="S14">
        <f t="shared" si="8"/>
        <v>-0.11603215514782912</v>
      </c>
      <c r="T14">
        <v>441</v>
      </c>
      <c r="U14">
        <f t="shared" si="2"/>
        <v>9.2307692307692299</v>
      </c>
      <c r="V14">
        <f t="shared" si="9"/>
        <v>431.76923076923077</v>
      </c>
      <c r="W14">
        <f t="shared" si="18"/>
        <v>5.7692307692307736</v>
      </c>
      <c r="X14">
        <f t="shared" si="19"/>
        <v>402.28823076923078</v>
      </c>
      <c r="Y14">
        <f t="shared" si="10"/>
        <v>0.5317450004721157</v>
      </c>
      <c r="Z14">
        <f t="shared" si="11"/>
        <v>978101.30759644136</v>
      </c>
      <c r="AA14">
        <f t="shared" si="12"/>
        <v>124.1059191923077</v>
      </c>
      <c r="AB14" s="7">
        <f t="shared" si="13"/>
        <v>109.99993813561282</v>
      </c>
      <c r="AC14">
        <f t="shared" si="14"/>
        <v>44.951485762038459</v>
      </c>
      <c r="AD14">
        <v>-5</v>
      </c>
      <c r="AE14">
        <v>-4</v>
      </c>
      <c r="AF14">
        <v>3</v>
      </c>
      <c r="AG14">
        <v>4</v>
      </c>
      <c r="AH14">
        <f t="shared" si="15"/>
        <v>7.7480378373566541E-2</v>
      </c>
      <c r="AI14">
        <f t="shared" si="15"/>
        <v>5.8077564065738108E-2</v>
      </c>
      <c r="AJ14">
        <f t="shared" si="15"/>
        <v>3.8655831353907356E-2</v>
      </c>
      <c r="AK14">
        <f t="shared" si="15"/>
        <v>5.8077564065738108E-2</v>
      </c>
      <c r="AL14">
        <f t="shared" si="16"/>
        <v>0.23229133785895009</v>
      </c>
      <c r="AM14" s="7">
        <f t="shared" si="17"/>
        <v>64.748998710961203</v>
      </c>
    </row>
    <row r="15" spans="1:39" x14ac:dyDescent="0.25">
      <c r="B15">
        <v>-14</v>
      </c>
      <c r="C15" s="16">
        <f>(11*60)+22</f>
        <v>682</v>
      </c>
      <c r="D15">
        <v>3480.9340000000002</v>
      </c>
      <c r="E15">
        <v>0</v>
      </c>
      <c r="F15">
        <f t="shared" si="3"/>
        <v>3480.9340000000002</v>
      </c>
      <c r="G15">
        <f t="shared" si="0"/>
        <v>0.14045804195814629</v>
      </c>
      <c r="H15">
        <f t="shared" si="4"/>
        <v>3480.7935419580422</v>
      </c>
      <c r="I15" s="5">
        <f t="shared" si="5"/>
        <v>-4.9624580419576887</v>
      </c>
      <c r="J15" s="7">
        <f t="shared" si="6"/>
        <v>978086.44554195809</v>
      </c>
      <c r="K15" s="5">
        <v>6</v>
      </c>
      <c r="L15" s="5">
        <v>38</v>
      </c>
      <c r="M15" s="5">
        <v>55.06</v>
      </c>
      <c r="N15" s="8">
        <v>106</v>
      </c>
      <c r="O15" s="8">
        <v>33</v>
      </c>
      <c r="P15" s="8">
        <v>55.77</v>
      </c>
      <c r="Q15" s="9">
        <f t="shared" si="1"/>
        <v>-6.6486277777777776</v>
      </c>
      <c r="R15">
        <f t="shared" si="7"/>
        <v>106.56549166666666</v>
      </c>
      <c r="S15">
        <f t="shared" si="8"/>
        <v>-0.1160404454617761</v>
      </c>
      <c r="T15">
        <v>445</v>
      </c>
      <c r="U15">
        <f t="shared" si="2"/>
        <v>9.72027972027972</v>
      </c>
      <c r="V15">
        <f t="shared" si="9"/>
        <v>435.27972027972027</v>
      </c>
      <c r="W15">
        <f t="shared" si="18"/>
        <v>9.2797202797202658</v>
      </c>
      <c r="X15">
        <f t="shared" si="19"/>
        <v>405.79872027972027</v>
      </c>
      <c r="Y15">
        <f t="shared" si="10"/>
        <v>0.53588196704350977</v>
      </c>
      <c r="Z15">
        <f t="shared" si="11"/>
        <v>978101.31748458894</v>
      </c>
      <c r="AA15">
        <f t="shared" si="12"/>
        <v>125.1889052062937</v>
      </c>
      <c r="AB15" s="7">
        <f t="shared" si="13"/>
        <v>110.31696257544112</v>
      </c>
      <c r="AC15">
        <f t="shared" si="14"/>
        <v>45.343746104695796</v>
      </c>
      <c r="AD15">
        <v>-4</v>
      </c>
      <c r="AE15">
        <v>-3</v>
      </c>
      <c r="AF15">
        <v>2</v>
      </c>
      <c r="AG15">
        <v>1</v>
      </c>
      <c r="AH15">
        <f t="shared" si="15"/>
        <v>5.8077564065738108E-2</v>
      </c>
      <c r="AI15">
        <f t="shared" si="15"/>
        <v>3.8655831353907356E-2</v>
      </c>
      <c r="AJ15">
        <f t="shared" si="15"/>
        <v>2.0384653162369731E-2</v>
      </c>
      <c r="AK15">
        <f t="shared" si="15"/>
        <v>5.905047403128365E-3</v>
      </c>
      <c r="AL15">
        <f t="shared" si="16"/>
        <v>0.12302309598514355</v>
      </c>
      <c r="AM15" s="7">
        <f t="shared" si="17"/>
        <v>64.560357599686967</v>
      </c>
    </row>
    <row r="16" spans="1:39" x14ac:dyDescent="0.25">
      <c r="B16">
        <v>-15</v>
      </c>
      <c r="C16" s="16">
        <f>(11*60)+28</f>
        <v>688</v>
      </c>
      <c r="D16">
        <v>3479.1289999999999</v>
      </c>
      <c r="E16">
        <v>0</v>
      </c>
      <c r="F16">
        <f t="shared" si="3"/>
        <v>3479.1289999999999</v>
      </c>
      <c r="G16">
        <f t="shared" si="0"/>
        <v>0.14652097902108785</v>
      </c>
      <c r="H16">
        <f t="shared" si="4"/>
        <v>3478.9824790209786</v>
      </c>
      <c r="I16" s="5">
        <f t="shared" si="5"/>
        <v>-6.7735209790212139</v>
      </c>
      <c r="J16" s="7">
        <f t="shared" si="6"/>
        <v>978084.63447902107</v>
      </c>
      <c r="K16" s="5">
        <v>6</v>
      </c>
      <c r="L16" s="5">
        <v>38</v>
      </c>
      <c r="M16" s="5">
        <v>55.41</v>
      </c>
      <c r="N16" s="8">
        <v>106</v>
      </c>
      <c r="O16" s="8">
        <v>33</v>
      </c>
      <c r="P16" s="8">
        <v>54.06</v>
      </c>
      <c r="Q16" s="9">
        <f t="shared" si="1"/>
        <v>-6.6487249999999998</v>
      </c>
      <c r="R16">
        <f t="shared" si="7"/>
        <v>106.56501666666666</v>
      </c>
      <c r="S16">
        <f t="shared" si="8"/>
        <v>-0.11604214230965998</v>
      </c>
      <c r="T16">
        <v>452</v>
      </c>
      <c r="U16">
        <f t="shared" si="2"/>
        <v>10.13986013986014</v>
      </c>
      <c r="V16">
        <f t="shared" si="9"/>
        <v>441.86013986013984</v>
      </c>
      <c r="W16">
        <f t="shared" si="18"/>
        <v>15.860139860139839</v>
      </c>
      <c r="X16">
        <f t="shared" si="19"/>
        <v>412.37913986013984</v>
      </c>
      <c r="Y16">
        <f t="shared" si="10"/>
        <v>0.54361326467358673</v>
      </c>
      <c r="Z16">
        <f t="shared" si="11"/>
        <v>978101.31950856443</v>
      </c>
      <c r="AA16">
        <f t="shared" si="12"/>
        <v>127.21896464685314</v>
      </c>
      <c r="AB16" s="7">
        <f t="shared" si="13"/>
        <v>110.53393510349896</v>
      </c>
      <c r="AC16">
        <f t="shared" si="14"/>
        <v>46.079038898402089</v>
      </c>
      <c r="AD16">
        <v>-5</v>
      </c>
      <c r="AE16">
        <v>-4</v>
      </c>
      <c r="AF16">
        <v>3</v>
      </c>
      <c r="AG16">
        <v>2</v>
      </c>
      <c r="AH16">
        <f t="shared" si="15"/>
        <v>7.7480378373566541E-2</v>
      </c>
      <c r="AI16">
        <f t="shared" si="15"/>
        <v>5.8077564065738108E-2</v>
      </c>
      <c r="AJ16">
        <f t="shared" si="15"/>
        <v>3.8655831353907356E-2</v>
      </c>
      <c r="AK16">
        <f t="shared" si="15"/>
        <v>2.0384653162369731E-2</v>
      </c>
      <c r="AL16">
        <f t="shared" si="16"/>
        <v>0.19459842695558172</v>
      </c>
      <c r="AM16" s="7">
        <f t="shared" si="17"/>
        <v>64.105881367378871</v>
      </c>
    </row>
    <row r="17" spans="2:39" x14ac:dyDescent="0.25">
      <c r="B17">
        <v>-16</v>
      </c>
      <c r="C17" s="16">
        <f>(11*60)+36</f>
        <v>696</v>
      </c>
      <c r="D17">
        <v>3477.6080000000002</v>
      </c>
      <c r="E17">
        <v>0</v>
      </c>
      <c r="F17">
        <f t="shared" si="3"/>
        <v>3477.6080000000002</v>
      </c>
      <c r="G17">
        <f t="shared" si="0"/>
        <v>0.15460489510500994</v>
      </c>
      <c r="H17">
        <f t="shared" si="4"/>
        <v>3477.4533951048952</v>
      </c>
      <c r="I17" s="5">
        <f t="shared" si="5"/>
        <v>-8.3026048951046505</v>
      </c>
      <c r="J17" s="7">
        <f t="shared" si="6"/>
        <v>978083.10539510497</v>
      </c>
      <c r="K17" s="5">
        <v>6</v>
      </c>
      <c r="L17" s="5">
        <v>38</v>
      </c>
      <c r="M17" s="5">
        <v>55.92</v>
      </c>
      <c r="N17" s="8">
        <v>106</v>
      </c>
      <c r="O17" s="8">
        <v>33</v>
      </c>
      <c r="P17" s="8">
        <v>52.61</v>
      </c>
      <c r="Q17" s="9">
        <f t="shared" si="1"/>
        <v>-6.6488666666666658</v>
      </c>
      <c r="R17">
        <f t="shared" si="7"/>
        <v>106.56461388888889</v>
      </c>
      <c r="S17">
        <f t="shared" si="8"/>
        <v>-0.11604461485943363</v>
      </c>
      <c r="T17">
        <v>462</v>
      </c>
      <c r="U17">
        <f t="shared" si="2"/>
        <v>10.6993006993007</v>
      </c>
      <c r="V17">
        <f t="shared" si="9"/>
        <v>451.30069930069931</v>
      </c>
      <c r="W17">
        <f t="shared" si="18"/>
        <v>25.300699300699307</v>
      </c>
      <c r="X17">
        <f t="shared" si="19"/>
        <v>421.81969930069931</v>
      </c>
      <c r="Y17">
        <f t="shared" si="10"/>
        <v>0.55465150154702347</v>
      </c>
      <c r="Z17">
        <f t="shared" si="11"/>
        <v>978101.32245783764</v>
      </c>
      <c r="AA17">
        <f t="shared" si="12"/>
        <v>130.13137723426573</v>
      </c>
      <c r="AB17" s="7">
        <f t="shared" si="13"/>
        <v>111.91431450159527</v>
      </c>
      <c r="AC17">
        <f t="shared" si="14"/>
        <v>47.133922290010489</v>
      </c>
      <c r="AD17">
        <v>-6</v>
      </c>
      <c r="AE17">
        <v>-4</v>
      </c>
      <c r="AF17">
        <v>4</v>
      </c>
      <c r="AG17">
        <v>5</v>
      </c>
      <c r="AH17">
        <f t="shared" si="15"/>
        <v>9.6344027617202871E-2</v>
      </c>
      <c r="AI17">
        <f t="shared" si="15"/>
        <v>5.8077564065738108E-2</v>
      </c>
      <c r="AJ17">
        <f t="shared" si="15"/>
        <v>5.8077564065738108E-2</v>
      </c>
      <c r="AK17">
        <f t="shared" si="15"/>
        <v>7.7480378373566541E-2</v>
      </c>
      <c r="AL17">
        <f t="shared" si="16"/>
        <v>0.28997953412224564</v>
      </c>
      <c r="AM17" s="7">
        <f t="shared" si="17"/>
        <v>64.515720244159994</v>
      </c>
    </row>
    <row r="18" spans="2:39" x14ac:dyDescent="0.25">
      <c r="B18">
        <v>-17</v>
      </c>
      <c r="C18" s="16">
        <f>(12*60)+45</f>
        <v>765</v>
      </c>
      <c r="D18">
        <v>3475.0279999999998</v>
      </c>
      <c r="E18">
        <v>0</v>
      </c>
      <c r="F18">
        <f t="shared" si="3"/>
        <v>3475.0279999999998</v>
      </c>
      <c r="G18">
        <f t="shared" si="0"/>
        <v>0.22432867132883794</v>
      </c>
      <c r="H18">
        <f t="shared" si="4"/>
        <v>3474.803671328671</v>
      </c>
      <c r="I18" s="5">
        <f t="shared" si="5"/>
        <v>-10.952328671328814</v>
      </c>
      <c r="J18" s="7">
        <f t="shared" si="6"/>
        <v>978080.4556713287</v>
      </c>
      <c r="K18" s="5">
        <v>6</v>
      </c>
      <c r="L18" s="5">
        <v>38</v>
      </c>
      <c r="M18" s="5">
        <v>56.49</v>
      </c>
      <c r="N18" s="8">
        <v>106</v>
      </c>
      <c r="O18" s="8">
        <v>33</v>
      </c>
      <c r="P18" s="8">
        <v>51.78</v>
      </c>
      <c r="Q18" s="9">
        <f t="shared" si="1"/>
        <v>-6.649025</v>
      </c>
      <c r="R18">
        <f t="shared" si="7"/>
        <v>106.56438333333332</v>
      </c>
      <c r="S18">
        <f t="shared" si="8"/>
        <v>-0.11604737829741597</v>
      </c>
      <c r="T18">
        <v>490</v>
      </c>
      <c r="U18">
        <f t="shared" si="2"/>
        <v>15.524475524475525</v>
      </c>
      <c r="V18">
        <f t="shared" si="9"/>
        <v>474.47552447552448</v>
      </c>
      <c r="W18">
        <f t="shared" si="18"/>
        <v>48.47552447552448</v>
      </c>
      <c r="X18">
        <f t="shared" si="19"/>
        <v>444.99452447552449</v>
      </c>
      <c r="Y18">
        <f t="shared" si="10"/>
        <v>0.58148134996256251</v>
      </c>
      <c r="Z18">
        <f t="shared" si="11"/>
        <v>978101.32575415727</v>
      </c>
      <c r="AA18">
        <f t="shared" si="12"/>
        <v>137.2808108006993</v>
      </c>
      <c r="AB18" s="7">
        <f t="shared" si="13"/>
        <v>116.4107279721338</v>
      </c>
      <c r="AC18">
        <f t="shared" si="14"/>
        <v>49.723465667632865</v>
      </c>
      <c r="AD18">
        <v>-5</v>
      </c>
      <c r="AE18">
        <v>-4</v>
      </c>
      <c r="AF18">
        <v>4</v>
      </c>
      <c r="AG18">
        <v>3</v>
      </c>
      <c r="AH18">
        <f t="shared" si="15"/>
        <v>7.7480378373566541E-2</v>
      </c>
      <c r="AI18">
        <f t="shared" si="15"/>
        <v>5.8077564065738108E-2</v>
      </c>
      <c r="AJ18">
        <f t="shared" si="15"/>
        <v>5.8077564065738108E-2</v>
      </c>
      <c r="AK18">
        <f t="shared" si="15"/>
        <v>3.8655831353907356E-2</v>
      </c>
      <c r="AL18">
        <f t="shared" si="16"/>
        <v>0.23229133785895009</v>
      </c>
      <c r="AM18" s="7">
        <f t="shared" si="17"/>
        <v>66.338072292397328</v>
      </c>
    </row>
    <row r="19" spans="2:39" x14ac:dyDescent="0.25">
      <c r="B19">
        <v>-18</v>
      </c>
      <c r="C19" s="16">
        <f>(12*60)+58</f>
        <v>778</v>
      </c>
      <c r="D19">
        <v>3469.09</v>
      </c>
      <c r="E19">
        <v>0</v>
      </c>
      <c r="F19">
        <f t="shared" si="3"/>
        <v>3469.09</v>
      </c>
      <c r="G19">
        <f t="shared" si="0"/>
        <v>0.23746503496521135</v>
      </c>
      <c r="H19">
        <f t="shared" si="4"/>
        <v>3468.8525349650349</v>
      </c>
      <c r="I19" s="5">
        <f t="shared" si="5"/>
        <v>-16.903465034964938</v>
      </c>
      <c r="J19" s="7">
        <f t="shared" si="6"/>
        <v>978074.50453496503</v>
      </c>
      <c r="K19" s="5">
        <v>6</v>
      </c>
      <c r="L19" s="5">
        <v>38</v>
      </c>
      <c r="M19" s="5">
        <v>56.97</v>
      </c>
      <c r="N19" s="8">
        <v>106</v>
      </c>
      <c r="O19" s="8">
        <v>33</v>
      </c>
      <c r="P19" s="8">
        <v>49.28</v>
      </c>
      <c r="Q19" s="9">
        <f t="shared" si="1"/>
        <v>-6.6491583333333333</v>
      </c>
      <c r="R19">
        <f t="shared" si="7"/>
        <v>106.56368888888889</v>
      </c>
      <c r="S19">
        <f t="shared" si="8"/>
        <v>-0.11604970540308529</v>
      </c>
      <c r="T19">
        <v>501</v>
      </c>
      <c r="U19">
        <f t="shared" si="2"/>
        <v>16.433566433566433</v>
      </c>
      <c r="V19">
        <f t="shared" si="9"/>
        <v>484.56643356643355</v>
      </c>
      <c r="W19">
        <f t="shared" si="18"/>
        <v>58.566433566433545</v>
      </c>
      <c r="X19">
        <f t="shared" si="19"/>
        <v>455.08543356643355</v>
      </c>
      <c r="Y19">
        <f t="shared" si="10"/>
        <v>0.59304518243848536</v>
      </c>
      <c r="Z19">
        <f t="shared" si="11"/>
        <v>978101.32853006525</v>
      </c>
      <c r="AA19">
        <f t="shared" si="12"/>
        <v>140.39385625524474</v>
      </c>
      <c r="AB19" s="7">
        <f t="shared" si="13"/>
        <v>113.56986115502687</v>
      </c>
      <c r="AC19">
        <f t="shared" si="14"/>
        <v>50.851018803996496</v>
      </c>
      <c r="AD19">
        <v>-6</v>
      </c>
      <c r="AE19">
        <v>-5</v>
      </c>
      <c r="AF19">
        <v>5</v>
      </c>
      <c r="AG19">
        <v>4</v>
      </c>
      <c r="AH19">
        <f t="shared" si="15"/>
        <v>9.6344027617202871E-2</v>
      </c>
      <c r="AI19">
        <f t="shared" si="15"/>
        <v>7.7480378373566541E-2</v>
      </c>
      <c r="AJ19">
        <f t="shared" si="15"/>
        <v>7.7480378373566541E-2</v>
      </c>
      <c r="AK19">
        <f t="shared" si="15"/>
        <v>5.8077564065738108E-2</v>
      </c>
      <c r="AL19">
        <f t="shared" si="16"/>
        <v>0.30938234843007406</v>
      </c>
      <c r="AM19" s="7">
        <f t="shared" si="17"/>
        <v>62.435179517021965</v>
      </c>
    </row>
    <row r="20" spans="2:39" x14ac:dyDescent="0.25">
      <c r="B20">
        <v>-19</v>
      </c>
      <c r="C20" s="16">
        <f>(13*60)+4</f>
        <v>784</v>
      </c>
      <c r="D20">
        <v>3466.4459999999999</v>
      </c>
      <c r="E20">
        <v>0</v>
      </c>
      <c r="F20">
        <f t="shared" si="3"/>
        <v>3466.4459999999999</v>
      </c>
      <c r="G20">
        <f t="shared" si="0"/>
        <v>0.24352797202815291</v>
      </c>
      <c r="H20">
        <f t="shared" si="4"/>
        <v>3466.2024720279719</v>
      </c>
      <c r="I20" s="5">
        <f t="shared" si="5"/>
        <v>-19.55352797202795</v>
      </c>
      <c r="J20" s="7">
        <f t="shared" si="6"/>
        <v>978071.85447202798</v>
      </c>
      <c r="K20" s="5">
        <v>6</v>
      </c>
      <c r="L20" s="5">
        <v>38</v>
      </c>
      <c r="M20" s="5">
        <v>58.29</v>
      </c>
      <c r="N20" s="8">
        <v>106</v>
      </c>
      <c r="O20" s="8">
        <v>33</v>
      </c>
      <c r="P20" s="8">
        <v>48.68</v>
      </c>
      <c r="Q20" s="9">
        <f t="shared" si="1"/>
        <v>-6.6495249999999997</v>
      </c>
      <c r="R20">
        <f t="shared" si="7"/>
        <v>106.56352222222222</v>
      </c>
      <c r="S20">
        <f t="shared" si="8"/>
        <v>-0.11605610494367594</v>
      </c>
      <c r="T20">
        <v>512</v>
      </c>
      <c r="U20">
        <f t="shared" si="2"/>
        <v>16.853146853146853</v>
      </c>
      <c r="V20">
        <f t="shared" si="9"/>
        <v>495.14685314685312</v>
      </c>
      <c r="W20">
        <f t="shared" si="18"/>
        <v>69.146853146853118</v>
      </c>
      <c r="X20">
        <f t="shared" si="19"/>
        <v>465.66585314685312</v>
      </c>
      <c r="Y20">
        <f t="shared" si="10"/>
        <v>0.60509272589698504</v>
      </c>
      <c r="Z20">
        <f t="shared" si="11"/>
        <v>978101.33616409381</v>
      </c>
      <c r="AA20">
        <f t="shared" si="12"/>
        <v>143.65791569580418</v>
      </c>
      <c r="AB20" s="7">
        <f t="shared" si="13"/>
        <v>114.17622362997011</v>
      </c>
      <c r="AC20">
        <f t="shared" si="14"/>
        <v>52.033269597702791</v>
      </c>
      <c r="AD20">
        <v>-5</v>
      </c>
      <c r="AE20">
        <v>4</v>
      </c>
      <c r="AF20">
        <v>5</v>
      </c>
      <c r="AG20">
        <v>4</v>
      </c>
      <c r="AH20">
        <f t="shared" si="15"/>
        <v>7.7480378373566541E-2</v>
      </c>
      <c r="AI20">
        <f t="shared" si="15"/>
        <v>5.8077564065738108E-2</v>
      </c>
      <c r="AJ20">
        <f t="shared" si="15"/>
        <v>7.7480378373566541E-2</v>
      </c>
      <c r="AK20">
        <f t="shared" si="15"/>
        <v>5.8077564065738108E-2</v>
      </c>
      <c r="AL20">
        <f t="shared" si="16"/>
        <v>0.27111588487860927</v>
      </c>
      <c r="AM20" s="7">
        <f t="shared" si="17"/>
        <v>61.808977191248943</v>
      </c>
    </row>
    <row r="21" spans="2:39" x14ac:dyDescent="0.25">
      <c r="B21" t="s">
        <v>41</v>
      </c>
      <c r="C21" s="16">
        <f>(13*60)+49</f>
        <v>829</v>
      </c>
      <c r="D21">
        <v>3486.0450000000001</v>
      </c>
      <c r="E21">
        <v>0</v>
      </c>
      <c r="F21">
        <f t="shared" si="3"/>
        <v>3486.0450000000001</v>
      </c>
      <c r="G21">
        <f t="shared" si="0"/>
        <v>0.28900000000021464</v>
      </c>
      <c r="H21">
        <f t="shared" si="4"/>
        <v>3485.7559999999999</v>
      </c>
      <c r="I21" s="5">
        <f t="shared" si="5"/>
        <v>0</v>
      </c>
      <c r="J21" s="7">
        <f t="shared" si="6"/>
        <v>978091.40800000005</v>
      </c>
      <c r="K21" s="5">
        <v>6</v>
      </c>
      <c r="L21" s="5">
        <v>38</v>
      </c>
      <c r="M21" s="5">
        <v>26.92</v>
      </c>
      <c r="N21" s="8">
        <v>106</v>
      </c>
      <c r="O21" s="8">
        <v>33</v>
      </c>
      <c r="P21" s="8">
        <v>47.31</v>
      </c>
      <c r="Q21" s="9">
        <f t="shared" si="1"/>
        <v>-6.6408111111111108</v>
      </c>
      <c r="R21">
        <f t="shared" si="7"/>
        <v>106.56314166666667</v>
      </c>
      <c r="S21">
        <f t="shared" si="8"/>
        <v>-0.11590401889191188</v>
      </c>
      <c r="T21">
        <v>446</v>
      </c>
      <c r="U21">
        <f t="shared" si="2"/>
        <v>20</v>
      </c>
      <c r="V21">
        <f t="shared" si="9"/>
        <v>426</v>
      </c>
      <c r="W21">
        <f t="shared" si="18"/>
        <v>0</v>
      </c>
      <c r="X21">
        <v>396.51900000000001</v>
      </c>
      <c r="Y21">
        <f t="shared" si="10"/>
        <v>0.52492729067563015</v>
      </c>
      <c r="Z21">
        <f t="shared" si="11"/>
        <v>978101.15485207259</v>
      </c>
      <c r="AA21">
        <f t="shared" si="12"/>
        <v>122.3261115</v>
      </c>
      <c r="AB21" s="7">
        <f t="shared" si="13"/>
        <v>112.57925942746212</v>
      </c>
      <c r="AC21">
        <f t="shared" si="14"/>
        <v>44.306834800499999</v>
      </c>
      <c r="AD21">
        <v>3</v>
      </c>
      <c r="AE21">
        <v>5</v>
      </c>
      <c r="AF21">
        <v>3</v>
      </c>
      <c r="AG21">
        <v>-2</v>
      </c>
      <c r="AH21">
        <f t="shared" si="15"/>
        <v>3.8655831353907356E-2</v>
      </c>
      <c r="AI21">
        <f t="shared" si="15"/>
        <v>7.7480378373566541E-2</v>
      </c>
      <c r="AJ21">
        <f t="shared" si="15"/>
        <v>3.8655831353907356E-2</v>
      </c>
      <c r="AK21">
        <f t="shared" si="15"/>
        <v>2.0384653162369731E-2</v>
      </c>
      <c r="AL21">
        <f t="shared" si="16"/>
        <v>0.17517669424375099</v>
      </c>
      <c r="AM21" s="7">
        <f t="shared" si="17"/>
        <v>67.922674030530231</v>
      </c>
    </row>
  </sheetData>
  <mergeCells count="29">
    <mergeCell ref="AM1:AM3"/>
    <mergeCell ref="K2:M2"/>
    <mergeCell ref="N2:P2"/>
    <mergeCell ref="Q2:Q3"/>
    <mergeCell ref="R2:R3"/>
    <mergeCell ref="AA1:AA3"/>
    <mergeCell ref="AB1:AB3"/>
    <mergeCell ref="AC1:AC3"/>
    <mergeCell ref="AD1:AG2"/>
    <mergeCell ref="AH1:AK2"/>
    <mergeCell ref="AL1:AL3"/>
    <mergeCell ref="T1:T2"/>
    <mergeCell ref="U1:U2"/>
    <mergeCell ref="V1:V2"/>
    <mergeCell ref="W1:W2"/>
    <mergeCell ref="Y1:Y3"/>
    <mergeCell ref="Z1:Z3"/>
    <mergeCell ref="G1:G2"/>
    <mergeCell ref="H1:H2"/>
    <mergeCell ref="I1:I3"/>
    <mergeCell ref="J1:J2"/>
    <mergeCell ref="K1:R1"/>
    <mergeCell ref="S1:S2"/>
    <mergeCell ref="F1:F2"/>
    <mergeCell ref="A1:A3"/>
    <mergeCell ref="B1:B3"/>
    <mergeCell ref="C1:C2"/>
    <mergeCell ref="D1:D3"/>
    <mergeCell ref="E1:E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topLeftCell="J1" zoomScale="78" zoomScaleNormal="78" workbookViewId="0">
      <selection activeCell="X5" sqref="X5"/>
    </sheetView>
  </sheetViews>
  <sheetFormatPr defaultRowHeight="15" x14ac:dyDescent="0.25"/>
  <cols>
    <col min="10" max="10" width="18.42578125" bestFit="1" customWidth="1"/>
    <col min="11" max="12" width="10.28515625" customWidth="1"/>
    <col min="17" max="17" width="16.42578125" customWidth="1"/>
    <col min="18" max="18" width="16.28515625" bestFit="1" customWidth="1"/>
    <col min="19" max="19" width="15.85546875" customWidth="1"/>
    <col min="20" max="20" width="12.5703125" bestFit="1" customWidth="1"/>
    <col min="21" max="21" width="12.5703125" customWidth="1"/>
    <col min="22" max="23" width="9.85546875" customWidth="1"/>
    <col min="28" max="28" width="10.5703125" bestFit="1" customWidth="1"/>
  </cols>
  <sheetData>
    <row r="1" spans="1:39" x14ac:dyDescent="0.25">
      <c r="A1" s="22" t="s">
        <v>2</v>
      </c>
      <c r="B1" s="22" t="s">
        <v>0</v>
      </c>
      <c r="C1" s="20" t="s">
        <v>4</v>
      </c>
      <c r="D1" s="22" t="s">
        <v>6</v>
      </c>
      <c r="E1" s="20" t="s">
        <v>7</v>
      </c>
      <c r="F1" s="20" t="s">
        <v>9</v>
      </c>
      <c r="G1" s="20" t="s">
        <v>7</v>
      </c>
      <c r="H1" s="20" t="s">
        <v>12</v>
      </c>
      <c r="I1" s="22" t="s">
        <v>13</v>
      </c>
      <c r="J1" s="23" t="s">
        <v>14</v>
      </c>
      <c r="K1" s="26" t="s">
        <v>15</v>
      </c>
      <c r="L1" s="26"/>
      <c r="M1" s="26"/>
      <c r="N1" s="26"/>
      <c r="O1" s="26"/>
      <c r="P1" s="26"/>
      <c r="Q1" s="26"/>
      <c r="R1" s="26"/>
      <c r="S1" s="20" t="s">
        <v>21</v>
      </c>
      <c r="T1" s="20" t="s">
        <v>26</v>
      </c>
      <c r="U1" s="20" t="s">
        <v>12</v>
      </c>
      <c r="V1" s="20" t="s">
        <v>23</v>
      </c>
      <c r="W1" s="20" t="s">
        <v>25</v>
      </c>
      <c r="X1" s="14" t="b">
        <v>1</v>
      </c>
      <c r="Y1" s="22" t="s">
        <v>28</v>
      </c>
      <c r="Z1" s="22" t="s">
        <v>29</v>
      </c>
      <c r="AA1" s="22" t="s">
        <v>30</v>
      </c>
      <c r="AB1" s="22" t="s">
        <v>31</v>
      </c>
      <c r="AC1" s="22" t="s">
        <v>32</v>
      </c>
      <c r="AD1" s="22" t="s">
        <v>37</v>
      </c>
      <c r="AE1" s="22"/>
      <c r="AF1" s="22"/>
      <c r="AG1" s="22"/>
      <c r="AH1" s="22" t="s">
        <v>38</v>
      </c>
      <c r="AI1" s="22"/>
      <c r="AJ1" s="22"/>
      <c r="AK1" s="22"/>
      <c r="AL1" s="22" t="s">
        <v>39</v>
      </c>
      <c r="AM1" s="22" t="s">
        <v>40</v>
      </c>
    </row>
    <row r="2" spans="1:39" x14ac:dyDescent="0.25">
      <c r="A2" s="22"/>
      <c r="B2" s="22"/>
      <c r="C2" s="21"/>
      <c r="D2" s="22"/>
      <c r="E2" s="21"/>
      <c r="F2" s="21"/>
      <c r="G2" s="21"/>
      <c r="H2" s="21"/>
      <c r="I2" s="22"/>
      <c r="J2" s="24"/>
      <c r="K2" s="25" t="s">
        <v>16</v>
      </c>
      <c r="L2" s="25"/>
      <c r="M2" s="25"/>
      <c r="N2" s="25" t="s">
        <v>17</v>
      </c>
      <c r="O2" s="25"/>
      <c r="P2" s="25"/>
      <c r="Q2" s="25" t="s">
        <v>16</v>
      </c>
      <c r="R2" s="25" t="s">
        <v>17</v>
      </c>
      <c r="S2" s="21"/>
      <c r="T2" s="21"/>
      <c r="U2" s="21"/>
      <c r="V2" s="21"/>
      <c r="W2" s="21"/>
      <c r="X2" s="15" t="s">
        <v>23</v>
      </c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</row>
    <row r="3" spans="1:39" x14ac:dyDescent="0.25">
      <c r="A3" s="22"/>
      <c r="B3" s="22"/>
      <c r="C3" s="11" t="s">
        <v>5</v>
      </c>
      <c r="D3" s="22"/>
      <c r="E3" s="11" t="s">
        <v>8</v>
      </c>
      <c r="F3" s="12" t="s">
        <v>11</v>
      </c>
      <c r="G3" s="11" t="s">
        <v>12</v>
      </c>
      <c r="H3" s="11" t="s">
        <v>10</v>
      </c>
      <c r="I3" s="22"/>
      <c r="J3" s="13">
        <v>978091.40800000005</v>
      </c>
      <c r="K3" s="10" t="s">
        <v>18</v>
      </c>
      <c r="L3" s="10" t="s">
        <v>19</v>
      </c>
      <c r="M3" s="10" t="s">
        <v>20</v>
      </c>
      <c r="N3" s="10" t="s">
        <v>18</v>
      </c>
      <c r="O3" s="10" t="s">
        <v>19</v>
      </c>
      <c r="P3" s="10" t="s">
        <v>20</v>
      </c>
      <c r="Q3" s="25"/>
      <c r="R3" s="25"/>
      <c r="S3" s="11" t="s">
        <v>22</v>
      </c>
      <c r="T3" s="11" t="s">
        <v>27</v>
      </c>
      <c r="U3" s="11" t="s">
        <v>23</v>
      </c>
      <c r="V3" s="11" t="s">
        <v>11</v>
      </c>
      <c r="W3" s="11" t="s">
        <v>23</v>
      </c>
      <c r="X3" s="11" t="s">
        <v>24</v>
      </c>
      <c r="Y3" s="22"/>
      <c r="Z3" s="22"/>
      <c r="AA3" s="22"/>
      <c r="AB3" s="22"/>
      <c r="AC3" s="22"/>
      <c r="AD3" s="10" t="s">
        <v>33</v>
      </c>
      <c r="AE3" s="10" t="s">
        <v>34</v>
      </c>
      <c r="AF3" s="10" t="s">
        <v>35</v>
      </c>
      <c r="AG3" s="10" t="s">
        <v>36</v>
      </c>
      <c r="AH3" s="10" t="s">
        <v>33</v>
      </c>
      <c r="AI3" s="10" t="s">
        <v>34</v>
      </c>
      <c r="AJ3" s="10" t="s">
        <v>35</v>
      </c>
      <c r="AK3" s="10" t="s">
        <v>36</v>
      </c>
      <c r="AL3" s="22"/>
      <c r="AM3" s="22"/>
    </row>
    <row r="4" spans="1:39" x14ac:dyDescent="0.25">
      <c r="B4" t="s">
        <v>41</v>
      </c>
      <c r="C4" s="3">
        <f>(8*36)+27</f>
        <v>315</v>
      </c>
      <c r="D4">
        <v>3486.4319999999998</v>
      </c>
      <c r="E4">
        <v>0</v>
      </c>
      <c r="F4">
        <f>D4+E4</f>
        <v>3486.4319999999998</v>
      </c>
      <c r="G4">
        <f t="shared" ref="G4:G30" si="0">(($F$30-$F$4)/($C$30-$C$4))*(C4-$C$4)</f>
        <v>0</v>
      </c>
      <c r="H4">
        <f>F4-G4</f>
        <v>3486.4319999999998</v>
      </c>
      <c r="I4" s="5">
        <f>H4-$H$4</f>
        <v>0</v>
      </c>
      <c r="J4" s="7">
        <f>I4+$J$3</f>
        <v>978091.40800000005</v>
      </c>
      <c r="K4" s="5">
        <v>6</v>
      </c>
      <c r="L4" s="5">
        <v>38</v>
      </c>
      <c r="M4" s="5">
        <v>29.65</v>
      </c>
      <c r="N4" s="8">
        <v>106</v>
      </c>
      <c r="O4" s="8">
        <v>33</v>
      </c>
      <c r="P4" s="8">
        <v>47.25</v>
      </c>
      <c r="Q4" s="9">
        <f t="shared" ref="Q4:Q30" si="1">-(K4+(L4/60)+(M4/3600))</f>
        <v>-6.6415694444444444</v>
      </c>
      <c r="R4">
        <f>(N4+(O4/60)+(P4/3600))</f>
        <v>106.563125</v>
      </c>
      <c r="S4">
        <f>RADIANS(Q4)</f>
        <v>-0.11591725430540617</v>
      </c>
      <c r="T4">
        <v>433</v>
      </c>
      <c r="U4">
        <f t="shared" ref="U4:U30" si="2">(T$30-T$4)*(C4-C$4)/(C$30-C$4)</f>
        <v>0</v>
      </c>
      <c r="V4">
        <f>T4-U4</f>
        <v>433</v>
      </c>
      <c r="W4">
        <f>V4-V$4</f>
        <v>0</v>
      </c>
      <c r="X4">
        <v>396.51900000000001</v>
      </c>
      <c r="Y4">
        <f>(0.0004462*X4/0.3048)-(0.00000003282*(X4^2)/(0.3048^2))+(0.00000000000000127*(X4^3)/(0.3048^3))</f>
        <v>0.52492729067563015</v>
      </c>
      <c r="Z4">
        <f>978031.8*(1+0.0053024*(SIN(S4))^2)+0.0000058*(SIN(2*S4))^2</f>
        <v>978101.17062162468</v>
      </c>
      <c r="AA4">
        <f>0.3085*X4</f>
        <v>122.3261115</v>
      </c>
      <c r="AB4" s="7">
        <f>J4-Z4+AA4</f>
        <v>112.56348987537191</v>
      </c>
      <c r="AC4">
        <f>0.04185*2.67*X4</f>
        <v>44.306834800499999</v>
      </c>
      <c r="AD4">
        <v>3</v>
      </c>
      <c r="AE4">
        <v>5</v>
      </c>
      <c r="AF4">
        <v>3</v>
      </c>
      <c r="AG4">
        <v>-2</v>
      </c>
      <c r="AH4">
        <f>0.04191*(2.67/4)*((20-2)+SQRT((2^2+AD4^2))-SQRT((20^2+AD4^2)))</f>
        <v>3.8655831353907356E-2</v>
      </c>
      <c r="AI4">
        <f>0.04191*(2.67/4)*((20-2)+SQRT((2^2+AE4^2))-SQRT((20^2+AE4^2)))</f>
        <v>7.7480378373566541E-2</v>
      </c>
      <c r="AJ4">
        <f>0.04191*(2.67/4)*((20-2)+SQRT((2^2+AF4^2))-SQRT((20^2+AF4^2)))</f>
        <v>3.8655831353907356E-2</v>
      </c>
      <c r="AK4">
        <f>0.04191*(2.67/4)*((20-2)+SQRT((2^2+AG4^2))-SQRT((20^2+AG4^2)))</f>
        <v>2.0384653162369731E-2</v>
      </c>
      <c r="AL4">
        <f>SUM(AH4:AK4)</f>
        <v>0.17517669424375099</v>
      </c>
      <c r="AM4" s="7">
        <f>AB4-AC4+AL4-Y4</f>
        <v>67.906904478440026</v>
      </c>
    </row>
    <row r="5" spans="1:39" x14ac:dyDescent="0.25">
      <c r="B5">
        <v>-20</v>
      </c>
      <c r="C5" s="3">
        <f>(9*36)+26</f>
        <v>350</v>
      </c>
      <c r="D5">
        <v>3463.9560000000001</v>
      </c>
      <c r="E5">
        <v>0</v>
      </c>
      <c r="F5">
        <f t="shared" ref="F5:F30" si="3">D5+E5</f>
        <v>3463.9560000000001</v>
      </c>
      <c r="G5">
        <f t="shared" si="0"/>
        <v>2.4270613107854173E-2</v>
      </c>
      <c r="H5">
        <f t="shared" ref="H5:H30" si="4">F5-G5</f>
        <v>3463.9317293868921</v>
      </c>
      <c r="I5" s="5">
        <f t="shared" ref="I5:I30" si="5">H5-$H$4</f>
        <v>-22.500270613107659</v>
      </c>
      <c r="J5" s="7">
        <f t="shared" ref="J5:J30" si="6">I5+$J$3</f>
        <v>978068.90772938693</v>
      </c>
      <c r="K5" s="5">
        <v>6</v>
      </c>
      <c r="L5" s="5">
        <v>38</v>
      </c>
      <c r="M5" s="5">
        <v>59.36</v>
      </c>
      <c r="N5" s="8">
        <v>106</v>
      </c>
      <c r="O5" s="8">
        <v>33</v>
      </c>
      <c r="P5" s="8">
        <v>47.69</v>
      </c>
      <c r="Q5" s="9">
        <f t="shared" si="1"/>
        <v>-6.6498222222222214</v>
      </c>
      <c r="R5">
        <f t="shared" ref="R5:R30" si="7">(N5+(O5/60)+(P5/3600))</f>
        <v>106.56324722222222</v>
      </c>
      <c r="S5">
        <f t="shared" ref="S5:S30" si="8">RADIANS(Q5)</f>
        <v>-0.1160612924500638</v>
      </c>
      <c r="T5">
        <v>523</v>
      </c>
      <c r="U5">
        <f t="shared" si="2"/>
        <v>-0.96194503171247359</v>
      </c>
      <c r="V5">
        <f t="shared" ref="V5:V30" si="9">T5-U5</f>
        <v>523.9619450317125</v>
      </c>
      <c r="W5">
        <f>V5-V$4</f>
        <v>90.961945031712503</v>
      </c>
      <c r="X5">
        <f>X$4+W5</f>
        <v>487.48094503171251</v>
      </c>
      <c r="Y5">
        <f t="shared" ref="Y5:Y30" si="10">(0.0004462*X5/0.3048)-(0.00000003282*(X5^2)/(0.3048^2))+(0.00000000000000127*(X5^3)/(0.3048^3))</f>
        <v>0.62968317060421897</v>
      </c>
      <c r="Z5">
        <f t="shared" ref="Z5:Z30" si="11">978031.8*(1+0.0053024*(SIN(S5))^2)+0.0000058*(SIN(2*S5))^2</f>
        <v>978101.34235258691</v>
      </c>
      <c r="AA5">
        <f t="shared" ref="AA5:AA30" si="12">0.3085*X5</f>
        <v>150.38787154228331</v>
      </c>
      <c r="AB5" s="7">
        <f t="shared" ref="AB5:AB30" si="13">J5-Z5+AA5</f>
        <v>117.9532483423026</v>
      </c>
      <c r="AC5">
        <f t="shared" ref="AC5:AC30" si="14">0.04185*2.67*X5</f>
        <v>54.470877057371034</v>
      </c>
      <c r="AD5">
        <v>-5</v>
      </c>
      <c r="AE5">
        <v>-4</v>
      </c>
      <c r="AF5">
        <v>4</v>
      </c>
      <c r="AG5">
        <v>3</v>
      </c>
      <c r="AH5">
        <f t="shared" ref="AH5:AK30" si="15">0.04191*(2.67/4)*((20-2)+SQRT((2^2+AD5^2))-SQRT((20^2+AD5^2)))</f>
        <v>7.7480378373566541E-2</v>
      </c>
      <c r="AI5">
        <f t="shared" si="15"/>
        <v>5.8077564065738108E-2</v>
      </c>
      <c r="AJ5">
        <f t="shared" si="15"/>
        <v>5.8077564065738108E-2</v>
      </c>
      <c r="AK5">
        <f t="shared" si="15"/>
        <v>3.8655831353907356E-2</v>
      </c>
      <c r="AL5">
        <f t="shared" ref="AL5:AL30" si="16">SUM(AH5:AK5)</f>
        <v>0.23229133785895009</v>
      </c>
      <c r="AM5" s="7">
        <f>AB5-AC5+AL5-Y5</f>
        <v>63.084979452186303</v>
      </c>
    </row>
    <row r="6" spans="1:39" x14ac:dyDescent="0.25">
      <c r="B6">
        <v>-21</v>
      </c>
      <c r="C6" s="3">
        <f>(9*60)+3</f>
        <v>543</v>
      </c>
      <c r="D6">
        <v>3462.7040000000002</v>
      </c>
      <c r="E6">
        <v>0</v>
      </c>
      <c r="F6">
        <f t="shared" si="3"/>
        <v>3462.7040000000002</v>
      </c>
      <c r="G6">
        <f t="shared" si="0"/>
        <v>0.15810570824545006</v>
      </c>
      <c r="H6">
        <f t="shared" si="4"/>
        <v>3462.5458942917548</v>
      </c>
      <c r="I6" s="5">
        <f t="shared" si="5"/>
        <v>-23.886105708244941</v>
      </c>
      <c r="J6" s="7">
        <f t="shared" si="6"/>
        <v>978067.52189429186</v>
      </c>
      <c r="K6" s="5">
        <v>6</v>
      </c>
      <c r="L6" s="5">
        <v>39</v>
      </c>
      <c r="M6" s="5">
        <v>0.38</v>
      </c>
      <c r="N6" s="8">
        <v>106</v>
      </c>
      <c r="O6" s="8">
        <v>33</v>
      </c>
      <c r="P6" s="8">
        <v>45.74</v>
      </c>
      <c r="Q6" s="9">
        <f t="shared" si="1"/>
        <v>-6.6501055555555562</v>
      </c>
      <c r="R6">
        <f t="shared" si="7"/>
        <v>106.56270555555555</v>
      </c>
      <c r="S6">
        <f t="shared" si="8"/>
        <v>-0.11606623754961114</v>
      </c>
      <c r="T6">
        <v>533</v>
      </c>
      <c r="U6">
        <f t="shared" si="2"/>
        <v>-6.2663847780126849</v>
      </c>
      <c r="V6">
        <f t="shared" si="9"/>
        <v>539.26638477801271</v>
      </c>
      <c r="W6">
        <f>V6-V$4</f>
        <v>106.26638477801271</v>
      </c>
      <c r="X6">
        <f>X$4+W6</f>
        <v>502.78538477801271</v>
      </c>
      <c r="Y6">
        <f t="shared" si="10"/>
        <v>0.64673401279725118</v>
      </c>
      <c r="Z6">
        <f t="shared" si="11"/>
        <v>978101.34825215116</v>
      </c>
      <c r="AA6">
        <f t="shared" si="12"/>
        <v>155.10929120401693</v>
      </c>
      <c r="AB6" s="7">
        <f t="shared" si="13"/>
        <v>121.28293334471368</v>
      </c>
      <c r="AC6">
        <f t="shared" si="14"/>
        <v>56.180987502402751</v>
      </c>
      <c r="AD6">
        <v>-2</v>
      </c>
      <c r="AE6">
        <v>-3</v>
      </c>
      <c r="AF6">
        <v>4</v>
      </c>
      <c r="AG6">
        <v>4</v>
      </c>
      <c r="AH6">
        <f t="shared" si="15"/>
        <v>2.0384653162369731E-2</v>
      </c>
      <c r="AI6">
        <f t="shared" si="15"/>
        <v>3.8655831353907356E-2</v>
      </c>
      <c r="AJ6">
        <f t="shared" si="15"/>
        <v>5.8077564065738108E-2</v>
      </c>
      <c r="AK6">
        <f t="shared" si="15"/>
        <v>5.8077564065738108E-2</v>
      </c>
      <c r="AL6">
        <f t="shared" si="16"/>
        <v>0.1751956126477533</v>
      </c>
      <c r="AM6" s="7">
        <f t="shared" ref="AM6:AM30" si="17">AB6-AC6+AL6-Y6</f>
        <v>64.630407442161427</v>
      </c>
    </row>
    <row r="7" spans="1:39" x14ac:dyDescent="0.25">
      <c r="B7">
        <v>-22</v>
      </c>
      <c r="C7" s="3">
        <f>(9*60)+36</f>
        <v>576</v>
      </c>
      <c r="D7">
        <v>3460.029</v>
      </c>
      <c r="E7">
        <v>0</v>
      </c>
      <c r="F7">
        <f t="shared" si="3"/>
        <v>3460.029</v>
      </c>
      <c r="G7">
        <f t="shared" si="0"/>
        <v>0.18098942917571256</v>
      </c>
      <c r="H7">
        <f t="shared" si="4"/>
        <v>3459.8480105708245</v>
      </c>
      <c r="I7" s="5">
        <f t="shared" si="5"/>
        <v>-26.58398942917529</v>
      </c>
      <c r="J7" s="7">
        <f t="shared" si="6"/>
        <v>978064.82401057088</v>
      </c>
      <c r="K7" s="5">
        <v>6</v>
      </c>
      <c r="L7" s="5">
        <v>39</v>
      </c>
      <c r="M7" s="5">
        <v>1.24</v>
      </c>
      <c r="N7" s="8">
        <v>106</v>
      </c>
      <c r="O7" s="8">
        <v>33</v>
      </c>
      <c r="P7" s="8">
        <v>44.84</v>
      </c>
      <c r="Q7" s="9">
        <f t="shared" si="1"/>
        <v>-6.6503444444444444</v>
      </c>
      <c r="R7">
        <f t="shared" si="7"/>
        <v>106.56245555555556</v>
      </c>
      <c r="S7">
        <f t="shared" si="8"/>
        <v>-0.11607040694726867</v>
      </c>
      <c r="T7">
        <v>547</v>
      </c>
      <c r="U7">
        <f t="shared" si="2"/>
        <v>-7.1733615221987312</v>
      </c>
      <c r="V7">
        <f t="shared" si="9"/>
        <v>554.17336152219877</v>
      </c>
      <c r="W7">
        <f t="shared" ref="W7:W30" si="18">V7-V$4</f>
        <v>121.17336152219877</v>
      </c>
      <c r="X7">
        <f t="shared" ref="X7:X29" si="19">X$4+W7</f>
        <v>517.69236152219878</v>
      </c>
      <c r="Y7">
        <f t="shared" si="10"/>
        <v>0.663182967927749</v>
      </c>
      <c r="Z7">
        <f t="shared" si="11"/>
        <v>978101.35322648531</v>
      </c>
      <c r="AA7">
        <f t="shared" si="12"/>
        <v>159.70809352959833</v>
      </c>
      <c r="AB7" s="7">
        <f t="shared" si="13"/>
        <v>123.17887761516823</v>
      </c>
      <c r="AC7">
        <f t="shared" si="14"/>
        <v>57.846685630309729</v>
      </c>
      <c r="AD7">
        <v>-4</v>
      </c>
      <c r="AE7">
        <v>-2</v>
      </c>
      <c r="AF7">
        <v>2</v>
      </c>
      <c r="AG7">
        <v>-3</v>
      </c>
      <c r="AH7">
        <f t="shared" si="15"/>
        <v>5.8077564065738108E-2</v>
      </c>
      <c r="AI7">
        <f t="shared" si="15"/>
        <v>2.0384653162369731E-2</v>
      </c>
      <c r="AJ7">
        <f t="shared" si="15"/>
        <v>2.0384653162369731E-2</v>
      </c>
      <c r="AK7">
        <f t="shared" si="15"/>
        <v>3.8655831353907356E-2</v>
      </c>
      <c r="AL7">
        <f t="shared" si="16"/>
        <v>0.13750270174438492</v>
      </c>
      <c r="AM7" s="7">
        <f t="shared" si="17"/>
        <v>64.806511718675125</v>
      </c>
    </row>
    <row r="8" spans="1:39" x14ac:dyDescent="0.25">
      <c r="B8">
        <v>-23</v>
      </c>
      <c r="C8" s="3">
        <f>(60*9)+4</f>
        <v>544</v>
      </c>
      <c r="D8">
        <v>3459.181</v>
      </c>
      <c r="E8">
        <v>0</v>
      </c>
      <c r="F8">
        <f t="shared" si="3"/>
        <v>3459.181</v>
      </c>
      <c r="G8">
        <f t="shared" si="0"/>
        <v>0.15879915433424588</v>
      </c>
      <c r="H8">
        <f t="shared" si="4"/>
        <v>3459.0222008456658</v>
      </c>
      <c r="I8" s="5">
        <f t="shared" si="5"/>
        <v>-27.409799154333996</v>
      </c>
      <c r="J8" s="7">
        <f t="shared" si="6"/>
        <v>978063.99820084567</v>
      </c>
      <c r="K8" s="5">
        <v>6</v>
      </c>
      <c r="L8" s="5">
        <v>39</v>
      </c>
      <c r="M8" s="5">
        <v>1.77</v>
      </c>
      <c r="N8" s="8">
        <v>106</v>
      </c>
      <c r="O8" s="8">
        <v>33</v>
      </c>
      <c r="P8" s="8">
        <v>43.05</v>
      </c>
      <c r="Q8" s="9">
        <f t="shared" si="1"/>
        <v>-6.6504916666666674</v>
      </c>
      <c r="R8">
        <f t="shared" si="7"/>
        <v>106.56195833333334</v>
      </c>
      <c r="S8">
        <f t="shared" si="8"/>
        <v>-0.11607297645977857</v>
      </c>
      <c r="T8">
        <v>553</v>
      </c>
      <c r="U8">
        <f t="shared" si="2"/>
        <v>-6.293868921775899</v>
      </c>
      <c r="V8">
        <f t="shared" si="9"/>
        <v>559.29386892177592</v>
      </c>
      <c r="W8">
        <f t="shared" si="18"/>
        <v>126.29386892177592</v>
      </c>
      <c r="X8">
        <f t="shared" si="19"/>
        <v>522.81286892177593</v>
      </c>
      <c r="Y8">
        <f t="shared" si="10"/>
        <v>0.66879691964787513</v>
      </c>
      <c r="Z8">
        <f t="shared" si="11"/>
        <v>978101.35629215068</v>
      </c>
      <c r="AA8">
        <f t="shared" si="12"/>
        <v>161.28777006236788</v>
      </c>
      <c r="AB8" s="7">
        <f t="shared" si="13"/>
        <v>123.92967875735786</v>
      </c>
      <c r="AC8">
        <f t="shared" si="14"/>
        <v>58.418848566884776</v>
      </c>
      <c r="AD8">
        <v>-4</v>
      </c>
      <c r="AE8">
        <v>3</v>
      </c>
      <c r="AF8">
        <v>2</v>
      </c>
      <c r="AG8">
        <v>-3</v>
      </c>
      <c r="AH8">
        <f t="shared" si="15"/>
        <v>5.8077564065738108E-2</v>
      </c>
      <c r="AI8">
        <f t="shared" si="15"/>
        <v>3.8655831353907356E-2</v>
      </c>
      <c r="AJ8">
        <f t="shared" si="15"/>
        <v>2.0384653162369731E-2</v>
      </c>
      <c r="AK8">
        <f t="shared" si="15"/>
        <v>3.8655831353907356E-2</v>
      </c>
      <c r="AL8">
        <f t="shared" si="16"/>
        <v>0.15577387993592254</v>
      </c>
      <c r="AM8" s="7">
        <f t="shared" si="17"/>
        <v>64.997807150761133</v>
      </c>
    </row>
    <row r="9" spans="1:39" x14ac:dyDescent="0.25">
      <c r="B9">
        <v>-24</v>
      </c>
      <c r="C9" s="3">
        <f>(9*60)+46</f>
        <v>586</v>
      </c>
      <c r="D9">
        <v>3459.9580000000001</v>
      </c>
      <c r="E9">
        <v>0</v>
      </c>
      <c r="F9">
        <f t="shared" si="3"/>
        <v>3459.9580000000001</v>
      </c>
      <c r="G9">
        <f t="shared" si="0"/>
        <v>0.18792389006367088</v>
      </c>
      <c r="H9">
        <f t="shared" si="4"/>
        <v>3459.7700761099363</v>
      </c>
      <c r="I9" s="5">
        <f t="shared" si="5"/>
        <v>-26.661923890063463</v>
      </c>
      <c r="J9" s="7">
        <f t="shared" si="6"/>
        <v>978064.74607610994</v>
      </c>
      <c r="K9" s="5">
        <v>6</v>
      </c>
      <c r="L9" s="5">
        <v>39</v>
      </c>
      <c r="M9" s="5">
        <v>2.4900000000000002</v>
      </c>
      <c r="N9" s="8">
        <v>106</v>
      </c>
      <c r="O9" s="8">
        <v>33</v>
      </c>
      <c r="P9" s="8">
        <v>41.65</v>
      </c>
      <c r="Q9" s="9">
        <f t="shared" si="1"/>
        <v>-6.6506916666666669</v>
      </c>
      <c r="R9">
        <f t="shared" si="7"/>
        <v>106.56156944444444</v>
      </c>
      <c r="S9">
        <f t="shared" si="8"/>
        <v>-0.11607646711828255</v>
      </c>
      <c r="T9">
        <v>552</v>
      </c>
      <c r="U9">
        <f t="shared" si="2"/>
        <v>-7.4482029598308666</v>
      </c>
      <c r="V9">
        <f t="shared" si="9"/>
        <v>559.44820295983084</v>
      </c>
      <c r="W9">
        <f t="shared" si="18"/>
        <v>126.44820295983084</v>
      </c>
      <c r="X9">
        <f t="shared" si="19"/>
        <v>522.96720295983084</v>
      </c>
      <c r="Y9">
        <f t="shared" si="10"/>
        <v>0.66896583874829907</v>
      </c>
      <c r="Z9">
        <f t="shared" si="11"/>
        <v>978101.3604569349</v>
      </c>
      <c r="AA9">
        <f t="shared" si="12"/>
        <v>161.33538211310781</v>
      </c>
      <c r="AB9" s="7">
        <f t="shared" si="13"/>
        <v>124.72100128814611</v>
      </c>
      <c r="AC9">
        <f t="shared" si="14"/>
        <v>58.436093775130011</v>
      </c>
      <c r="AD9">
        <v>-2</v>
      </c>
      <c r="AE9">
        <v>3</v>
      </c>
      <c r="AF9">
        <v>2</v>
      </c>
      <c r="AG9">
        <v>-2</v>
      </c>
      <c r="AH9">
        <f t="shared" si="15"/>
        <v>2.0384653162369731E-2</v>
      </c>
      <c r="AI9">
        <f t="shared" si="15"/>
        <v>3.8655831353907356E-2</v>
      </c>
      <c r="AJ9">
        <f t="shared" si="15"/>
        <v>2.0384653162369731E-2</v>
      </c>
      <c r="AK9">
        <f t="shared" si="15"/>
        <v>2.0384653162369731E-2</v>
      </c>
      <c r="AL9">
        <f t="shared" si="16"/>
        <v>9.9809790841016544E-2</v>
      </c>
      <c r="AM9" s="7">
        <f t="shared" si="17"/>
        <v>65.715751465108823</v>
      </c>
    </row>
    <row r="10" spans="1:39" x14ac:dyDescent="0.25">
      <c r="B10">
        <v>-25</v>
      </c>
      <c r="C10" s="3">
        <f>(9*60)+51</f>
        <v>591</v>
      </c>
      <c r="D10">
        <v>3462.453</v>
      </c>
      <c r="E10">
        <v>0</v>
      </c>
      <c r="F10">
        <f t="shared" si="3"/>
        <v>3462.453</v>
      </c>
      <c r="G10">
        <f t="shared" si="0"/>
        <v>0.19139112050765006</v>
      </c>
      <c r="H10">
        <f t="shared" si="4"/>
        <v>3462.2616088794925</v>
      </c>
      <c r="I10" s="5">
        <f t="shared" si="5"/>
        <v>-24.170391120507247</v>
      </c>
      <c r="J10" s="7">
        <f t="shared" si="6"/>
        <v>978067.23760887957</v>
      </c>
      <c r="K10" s="5">
        <v>6</v>
      </c>
      <c r="L10" s="5">
        <v>39</v>
      </c>
      <c r="M10" s="5">
        <v>3.69</v>
      </c>
      <c r="N10" s="8">
        <v>106</v>
      </c>
      <c r="O10" s="8">
        <v>33</v>
      </c>
      <c r="P10" s="8">
        <v>40.08</v>
      </c>
      <c r="Q10" s="9">
        <f t="shared" si="1"/>
        <v>-6.6510250000000006</v>
      </c>
      <c r="R10">
        <f t="shared" si="7"/>
        <v>106.56113333333333</v>
      </c>
      <c r="S10">
        <f t="shared" si="8"/>
        <v>-0.11608228488245587</v>
      </c>
      <c r="T10">
        <v>543</v>
      </c>
      <c r="U10">
        <f t="shared" si="2"/>
        <v>-7.5856236786469342</v>
      </c>
      <c r="V10">
        <f t="shared" si="9"/>
        <v>550.58562367864693</v>
      </c>
      <c r="W10">
        <f t="shared" si="18"/>
        <v>117.58562367864693</v>
      </c>
      <c r="X10">
        <f t="shared" si="19"/>
        <v>514.10462367864693</v>
      </c>
      <c r="Y10">
        <f t="shared" si="10"/>
        <v>0.65923845803565462</v>
      </c>
      <c r="Z10">
        <f t="shared" si="11"/>
        <v>978101.36739851546</v>
      </c>
      <c r="AA10">
        <f t="shared" si="12"/>
        <v>158.60127640486257</v>
      </c>
      <c r="AB10" s="7">
        <f t="shared" si="13"/>
        <v>124.47148676897427</v>
      </c>
      <c r="AC10">
        <f t="shared" si="14"/>
        <v>57.445793597540167</v>
      </c>
      <c r="AD10">
        <v>2</v>
      </c>
      <c r="AE10">
        <v>3</v>
      </c>
      <c r="AF10">
        <v>-2</v>
      </c>
      <c r="AG10">
        <v>-3</v>
      </c>
      <c r="AH10">
        <f t="shared" si="15"/>
        <v>2.0384653162369731E-2</v>
      </c>
      <c r="AI10">
        <f t="shared" si="15"/>
        <v>3.8655831353907356E-2</v>
      </c>
      <c r="AJ10">
        <f t="shared" si="15"/>
        <v>2.0384653162369731E-2</v>
      </c>
      <c r="AK10">
        <f t="shared" si="15"/>
        <v>3.8655831353907356E-2</v>
      </c>
      <c r="AL10">
        <f t="shared" si="16"/>
        <v>0.11808096903255416</v>
      </c>
      <c r="AM10" s="7">
        <f t="shared" si="17"/>
        <v>66.484535682431002</v>
      </c>
    </row>
    <row r="11" spans="1:39" x14ac:dyDescent="0.25">
      <c r="B11">
        <v>-26</v>
      </c>
      <c r="C11" s="3">
        <f>(9*60)+59</f>
        <v>599</v>
      </c>
      <c r="D11">
        <v>3462.7860000000001</v>
      </c>
      <c r="E11">
        <v>0</v>
      </c>
      <c r="F11">
        <f t="shared" si="3"/>
        <v>3462.7860000000001</v>
      </c>
      <c r="G11">
        <f t="shared" si="0"/>
        <v>0.19693868921801672</v>
      </c>
      <c r="H11">
        <f t="shared" si="4"/>
        <v>3462.5890613107822</v>
      </c>
      <c r="I11" s="5">
        <f t="shared" si="5"/>
        <v>-23.84293868921759</v>
      </c>
      <c r="J11" s="7">
        <f t="shared" si="6"/>
        <v>978067.56506131089</v>
      </c>
      <c r="K11" s="5">
        <v>6</v>
      </c>
      <c r="L11" s="5">
        <v>39</v>
      </c>
      <c r="M11" s="5">
        <v>4.43</v>
      </c>
      <c r="N11" s="8">
        <v>106</v>
      </c>
      <c r="O11" s="8">
        <v>33</v>
      </c>
      <c r="P11" s="8">
        <v>38.520000000000003</v>
      </c>
      <c r="Q11" s="9">
        <f t="shared" si="1"/>
        <v>-6.6512305555555562</v>
      </c>
      <c r="R11">
        <f t="shared" si="7"/>
        <v>106.5607</v>
      </c>
      <c r="S11">
        <f t="shared" si="8"/>
        <v>-0.11608587250369608</v>
      </c>
      <c r="T11">
        <v>540</v>
      </c>
      <c r="U11">
        <f t="shared" si="2"/>
        <v>-7.8054968287526423</v>
      </c>
      <c r="V11">
        <f t="shared" si="9"/>
        <v>547.80549682875267</v>
      </c>
      <c r="W11">
        <f t="shared" si="18"/>
        <v>114.80549682875267</v>
      </c>
      <c r="X11">
        <f t="shared" si="19"/>
        <v>511.32449682875267</v>
      </c>
      <c r="Y11">
        <f t="shared" si="10"/>
        <v>0.65617561673215241</v>
      </c>
      <c r="Z11">
        <f t="shared" si="11"/>
        <v>978101.37167932687</v>
      </c>
      <c r="AA11">
        <f t="shared" si="12"/>
        <v>157.74360727167019</v>
      </c>
      <c r="AB11" s="7">
        <f t="shared" si="13"/>
        <v>123.93698925568984</v>
      </c>
      <c r="AC11">
        <f t="shared" si="14"/>
        <v>57.135143613396401</v>
      </c>
      <c r="AD11">
        <v>-4</v>
      </c>
      <c r="AE11">
        <v>3</v>
      </c>
      <c r="AF11">
        <v>3</v>
      </c>
      <c r="AG11">
        <v>-1</v>
      </c>
      <c r="AH11">
        <f t="shared" si="15"/>
        <v>5.8077564065738108E-2</v>
      </c>
      <c r="AI11">
        <f t="shared" si="15"/>
        <v>3.8655831353907356E-2</v>
      </c>
      <c r="AJ11">
        <f t="shared" si="15"/>
        <v>3.8655831353907356E-2</v>
      </c>
      <c r="AK11">
        <f t="shared" si="15"/>
        <v>5.905047403128365E-3</v>
      </c>
      <c r="AL11">
        <f t="shared" si="16"/>
        <v>0.14129427417668117</v>
      </c>
      <c r="AM11" s="7">
        <f t="shared" si="17"/>
        <v>66.286964299737974</v>
      </c>
    </row>
    <row r="12" spans="1:39" x14ac:dyDescent="0.25">
      <c r="B12">
        <v>-27</v>
      </c>
      <c r="C12" s="3">
        <f>(10*60)+12</f>
        <v>612</v>
      </c>
      <c r="D12">
        <v>3465.1239999999998</v>
      </c>
      <c r="E12">
        <v>0</v>
      </c>
      <c r="F12">
        <f t="shared" si="3"/>
        <v>3465.1239999999998</v>
      </c>
      <c r="G12">
        <f t="shared" si="0"/>
        <v>0.20595348837236258</v>
      </c>
      <c r="H12">
        <f t="shared" si="4"/>
        <v>3464.9180465116274</v>
      </c>
      <c r="I12" s="5">
        <f t="shared" si="5"/>
        <v>-21.513953488372408</v>
      </c>
      <c r="J12" s="7">
        <f t="shared" si="6"/>
        <v>978069.89404651173</v>
      </c>
      <c r="K12" s="5">
        <v>6</v>
      </c>
      <c r="L12" s="5">
        <v>39</v>
      </c>
      <c r="M12" s="5">
        <v>5.88</v>
      </c>
      <c r="N12" s="8">
        <v>106</v>
      </c>
      <c r="O12" s="8">
        <v>33</v>
      </c>
      <c r="P12" s="8">
        <v>37.909999999999997</v>
      </c>
      <c r="Q12" s="9">
        <f t="shared" si="1"/>
        <v>-6.6516333333333337</v>
      </c>
      <c r="R12">
        <f t="shared" si="7"/>
        <v>106.56053055555556</v>
      </c>
      <c r="S12">
        <f t="shared" si="8"/>
        <v>-0.11609290230207216</v>
      </c>
      <c r="T12">
        <v>530</v>
      </c>
      <c r="U12">
        <f t="shared" si="2"/>
        <v>-8.1627906976744189</v>
      </c>
      <c r="V12">
        <f t="shared" si="9"/>
        <v>538.16279069767438</v>
      </c>
      <c r="W12">
        <f t="shared" si="18"/>
        <v>105.16279069767438</v>
      </c>
      <c r="X12">
        <f t="shared" si="19"/>
        <v>501.68179069767439</v>
      </c>
      <c r="Y12">
        <f t="shared" si="10"/>
        <v>0.64551002208347097</v>
      </c>
      <c r="Z12">
        <f t="shared" si="11"/>
        <v>978101.38006778026</v>
      </c>
      <c r="AA12">
        <f t="shared" si="12"/>
        <v>154.76883243023255</v>
      </c>
      <c r="AB12" s="7">
        <f t="shared" si="13"/>
        <v>123.2828111617018</v>
      </c>
      <c r="AC12">
        <f t="shared" si="14"/>
        <v>56.057672451662782</v>
      </c>
      <c r="AD12">
        <v>4</v>
      </c>
      <c r="AE12">
        <v>3</v>
      </c>
      <c r="AF12">
        <v>4</v>
      </c>
      <c r="AG12">
        <v>-3</v>
      </c>
      <c r="AH12">
        <f t="shared" si="15"/>
        <v>5.8077564065738108E-2</v>
      </c>
      <c r="AI12">
        <f t="shared" si="15"/>
        <v>3.8655831353907356E-2</v>
      </c>
      <c r="AJ12">
        <f t="shared" si="15"/>
        <v>5.8077564065738108E-2</v>
      </c>
      <c r="AK12">
        <f t="shared" si="15"/>
        <v>3.8655831353907356E-2</v>
      </c>
      <c r="AL12">
        <f t="shared" si="16"/>
        <v>0.19346679083929091</v>
      </c>
      <c r="AM12" s="7">
        <f t="shared" si="17"/>
        <v>66.773095478794843</v>
      </c>
    </row>
    <row r="13" spans="1:39" x14ac:dyDescent="0.25">
      <c r="B13">
        <v>-28</v>
      </c>
      <c r="C13" s="3">
        <f>(10*60)+16</f>
        <v>616</v>
      </c>
      <c r="D13">
        <v>3464.6819999999998</v>
      </c>
      <c r="E13">
        <v>0</v>
      </c>
      <c r="F13">
        <f t="shared" si="3"/>
        <v>3464.6819999999998</v>
      </c>
      <c r="G13">
        <f t="shared" si="0"/>
        <v>0.2087272727275459</v>
      </c>
      <c r="H13">
        <f t="shared" si="4"/>
        <v>3464.4732727272722</v>
      </c>
      <c r="I13" s="5">
        <f t="shared" si="5"/>
        <v>-21.958727272727629</v>
      </c>
      <c r="J13" s="7">
        <f t="shared" si="6"/>
        <v>978069.44927272736</v>
      </c>
      <c r="K13" s="5">
        <v>6</v>
      </c>
      <c r="L13" s="5">
        <v>39</v>
      </c>
      <c r="M13" s="5">
        <v>6.08</v>
      </c>
      <c r="N13" s="8">
        <v>106</v>
      </c>
      <c r="O13" s="8">
        <v>33</v>
      </c>
      <c r="P13" s="8">
        <v>36.51</v>
      </c>
      <c r="Q13" s="9">
        <f t="shared" si="1"/>
        <v>-6.6516888888888897</v>
      </c>
      <c r="R13">
        <f t="shared" si="7"/>
        <v>106.56014166666667</v>
      </c>
      <c r="S13">
        <f t="shared" si="8"/>
        <v>-0.11609387192943439</v>
      </c>
      <c r="T13">
        <v>533</v>
      </c>
      <c r="U13">
        <f t="shared" si="2"/>
        <v>-8.2727272727272734</v>
      </c>
      <c r="V13">
        <f t="shared" si="9"/>
        <v>541.27272727272725</v>
      </c>
      <c r="W13">
        <f t="shared" si="18"/>
        <v>108.27272727272725</v>
      </c>
      <c r="X13">
        <f t="shared" si="19"/>
        <v>504.79172727272726</v>
      </c>
      <c r="Y13">
        <f t="shared" si="10"/>
        <v>0.64895703344413858</v>
      </c>
      <c r="Z13">
        <f t="shared" si="11"/>
        <v>978101.3812248474</v>
      </c>
      <c r="AA13">
        <f t="shared" si="12"/>
        <v>155.72824786363637</v>
      </c>
      <c r="AB13" s="7">
        <f t="shared" si="13"/>
        <v>123.79629574359862</v>
      </c>
      <c r="AC13">
        <f t="shared" si="14"/>
        <v>56.405175209590901</v>
      </c>
      <c r="AD13">
        <v>-4</v>
      </c>
      <c r="AE13">
        <v>3</v>
      </c>
      <c r="AF13">
        <v>3</v>
      </c>
      <c r="AG13">
        <v>-2</v>
      </c>
      <c r="AH13">
        <f t="shared" si="15"/>
        <v>5.8077564065738108E-2</v>
      </c>
      <c r="AI13">
        <f t="shared" si="15"/>
        <v>3.8655831353907356E-2</v>
      </c>
      <c r="AJ13">
        <f t="shared" si="15"/>
        <v>3.8655831353907356E-2</v>
      </c>
      <c r="AK13">
        <f t="shared" si="15"/>
        <v>2.0384653162369731E-2</v>
      </c>
      <c r="AL13">
        <f t="shared" si="16"/>
        <v>0.15577387993592254</v>
      </c>
      <c r="AM13" s="7">
        <f t="shared" si="17"/>
        <v>66.897937380499499</v>
      </c>
    </row>
    <row r="14" spans="1:39" x14ac:dyDescent="0.25">
      <c r="B14">
        <v>-29</v>
      </c>
      <c r="C14" s="3">
        <f>(10*60)+22</f>
        <v>622</v>
      </c>
      <c r="D14">
        <v>3461.4369999999999</v>
      </c>
      <c r="E14">
        <v>0</v>
      </c>
      <c r="F14">
        <f t="shared" si="3"/>
        <v>3461.4369999999999</v>
      </c>
      <c r="G14">
        <f t="shared" si="0"/>
        <v>0.2128879492603209</v>
      </c>
      <c r="H14">
        <f t="shared" si="4"/>
        <v>3461.2241120507397</v>
      </c>
      <c r="I14" s="5">
        <f t="shared" si="5"/>
        <v>-25.207887949260112</v>
      </c>
      <c r="J14" s="7">
        <f t="shared" si="6"/>
        <v>978066.20011205075</v>
      </c>
      <c r="K14" s="5">
        <v>6</v>
      </c>
      <c r="L14" s="5">
        <v>39</v>
      </c>
      <c r="M14" s="5">
        <v>7.1</v>
      </c>
      <c r="N14" s="8">
        <v>106</v>
      </c>
      <c r="O14" s="8">
        <v>33</v>
      </c>
      <c r="P14" s="8">
        <v>35</v>
      </c>
      <c r="Q14" s="9">
        <f t="shared" si="1"/>
        <v>-6.6519722222222226</v>
      </c>
      <c r="R14">
        <f t="shared" si="7"/>
        <v>106.55972222222222</v>
      </c>
      <c r="S14">
        <f t="shared" si="8"/>
        <v>-0.1160988170289817</v>
      </c>
      <c r="T14">
        <v>550</v>
      </c>
      <c r="U14">
        <f t="shared" si="2"/>
        <v>-8.4376321353065542</v>
      </c>
      <c r="V14">
        <f t="shared" si="9"/>
        <v>558.43763213530656</v>
      </c>
      <c r="W14">
        <f t="shared" si="18"/>
        <v>125.43763213530656</v>
      </c>
      <c r="X14">
        <f t="shared" si="19"/>
        <v>521.95663213530656</v>
      </c>
      <c r="Y14">
        <f t="shared" si="10"/>
        <v>0.66785946011381081</v>
      </c>
      <c r="Z14">
        <f t="shared" si="11"/>
        <v>978101.38712603785</v>
      </c>
      <c r="AA14">
        <f t="shared" si="12"/>
        <v>161.02362101374209</v>
      </c>
      <c r="AB14" s="7">
        <f t="shared" si="13"/>
        <v>125.83660702663954</v>
      </c>
      <c r="AC14">
        <f t="shared" si="14"/>
        <v>58.323173096483082</v>
      </c>
      <c r="AD14">
        <v>-5</v>
      </c>
      <c r="AE14">
        <v>-2</v>
      </c>
      <c r="AF14">
        <v>4</v>
      </c>
      <c r="AG14">
        <v>2</v>
      </c>
      <c r="AH14">
        <f t="shared" si="15"/>
        <v>7.7480378373566541E-2</v>
      </c>
      <c r="AI14">
        <f t="shared" si="15"/>
        <v>2.0384653162369731E-2</v>
      </c>
      <c r="AJ14">
        <f t="shared" si="15"/>
        <v>5.8077564065738108E-2</v>
      </c>
      <c r="AK14">
        <f t="shared" si="15"/>
        <v>2.0384653162369731E-2</v>
      </c>
      <c r="AL14">
        <f t="shared" si="16"/>
        <v>0.17632724876404413</v>
      </c>
      <c r="AM14" s="7">
        <f t="shared" si="17"/>
        <v>67.021901718806674</v>
      </c>
    </row>
    <row r="15" spans="1:39" x14ac:dyDescent="0.25">
      <c r="B15">
        <v>-30</v>
      </c>
      <c r="C15" s="3">
        <f>(10*60)+28</f>
        <v>628</v>
      </c>
      <c r="D15">
        <v>3457.6190000000001</v>
      </c>
      <c r="E15">
        <v>0</v>
      </c>
      <c r="F15">
        <f t="shared" si="3"/>
        <v>3457.6190000000001</v>
      </c>
      <c r="G15">
        <f t="shared" si="0"/>
        <v>0.21704862579309589</v>
      </c>
      <c r="H15">
        <f t="shared" si="4"/>
        <v>3457.4019513742069</v>
      </c>
      <c r="I15" s="5">
        <f t="shared" si="5"/>
        <v>-29.030048625792915</v>
      </c>
      <c r="J15" s="7">
        <f t="shared" si="6"/>
        <v>978062.37795137428</v>
      </c>
      <c r="K15" s="5">
        <v>6</v>
      </c>
      <c r="L15" s="5">
        <v>39</v>
      </c>
      <c r="M15" s="5">
        <v>7.71</v>
      </c>
      <c r="N15" s="8">
        <v>106</v>
      </c>
      <c r="O15" s="8">
        <v>33</v>
      </c>
      <c r="P15" s="8">
        <v>33.6</v>
      </c>
      <c r="Q15" s="9">
        <f t="shared" si="1"/>
        <v>-6.6521416666666671</v>
      </c>
      <c r="R15">
        <f t="shared" si="7"/>
        <v>106.55933333333333</v>
      </c>
      <c r="S15">
        <f t="shared" si="8"/>
        <v>-0.11610177439243646</v>
      </c>
      <c r="T15">
        <v>567</v>
      </c>
      <c r="U15">
        <f t="shared" si="2"/>
        <v>-8.602536997885835</v>
      </c>
      <c r="V15">
        <f t="shared" si="9"/>
        <v>575.60253699788586</v>
      </c>
      <c r="W15">
        <f t="shared" si="18"/>
        <v>142.60253699788586</v>
      </c>
      <c r="X15">
        <f t="shared" si="19"/>
        <v>539.12153699788587</v>
      </c>
      <c r="Y15">
        <f t="shared" si="10"/>
        <v>0.68655375658224105</v>
      </c>
      <c r="Z15">
        <f t="shared" si="11"/>
        <v>978101.39065529895</v>
      </c>
      <c r="AA15">
        <f t="shared" si="12"/>
        <v>166.31899416384778</v>
      </c>
      <c r="AB15" s="7">
        <f t="shared" si="13"/>
        <v>127.3062902391751</v>
      </c>
      <c r="AC15">
        <f t="shared" si="14"/>
        <v>60.241170983375262</v>
      </c>
      <c r="AD15">
        <v>-3</v>
      </c>
      <c r="AE15">
        <v>-2</v>
      </c>
      <c r="AF15">
        <v>2</v>
      </c>
      <c r="AG15">
        <v>-2</v>
      </c>
      <c r="AH15">
        <f t="shared" si="15"/>
        <v>3.8655831353907356E-2</v>
      </c>
      <c r="AI15">
        <f t="shared" si="15"/>
        <v>2.0384653162369731E-2</v>
      </c>
      <c r="AJ15">
        <f t="shared" si="15"/>
        <v>2.0384653162369731E-2</v>
      </c>
      <c r="AK15">
        <f t="shared" si="15"/>
        <v>2.0384653162369731E-2</v>
      </c>
      <c r="AL15">
        <f t="shared" si="16"/>
        <v>9.9809790841016544E-2</v>
      </c>
      <c r="AM15" s="7">
        <f t="shared" si="17"/>
        <v>66.478375290058608</v>
      </c>
    </row>
    <row r="16" spans="1:39" x14ac:dyDescent="0.25">
      <c r="B16">
        <v>-31</v>
      </c>
      <c r="C16" s="3">
        <f>(10*60)+36</f>
        <v>636</v>
      </c>
      <c r="D16">
        <v>3459.1190000000001</v>
      </c>
      <c r="E16">
        <v>0</v>
      </c>
      <c r="F16">
        <f t="shared" si="3"/>
        <v>3459.1190000000001</v>
      </c>
      <c r="G16">
        <f t="shared" si="0"/>
        <v>0.22259619450346257</v>
      </c>
      <c r="H16">
        <f t="shared" si="4"/>
        <v>3458.8964038054969</v>
      </c>
      <c r="I16" s="5">
        <f t="shared" si="5"/>
        <v>-27.535596194502887</v>
      </c>
      <c r="J16" s="7">
        <f t="shared" si="6"/>
        <v>978063.87240380549</v>
      </c>
      <c r="K16" s="5">
        <v>6</v>
      </c>
      <c r="L16" s="5">
        <v>39</v>
      </c>
      <c r="M16" s="5">
        <v>9.0399999999999991</v>
      </c>
      <c r="N16" s="8">
        <v>106</v>
      </c>
      <c r="O16" s="8">
        <v>33</v>
      </c>
      <c r="P16" s="8">
        <v>32.06</v>
      </c>
      <c r="Q16" s="9">
        <f t="shared" si="1"/>
        <v>-6.652511111111111</v>
      </c>
      <c r="R16">
        <f t="shared" si="7"/>
        <v>106.55890555555555</v>
      </c>
      <c r="S16">
        <f t="shared" si="8"/>
        <v>-0.11610822241439521</v>
      </c>
      <c r="T16">
        <v>560</v>
      </c>
      <c r="U16">
        <f t="shared" si="2"/>
        <v>-8.822410147991544</v>
      </c>
      <c r="V16">
        <f t="shared" si="9"/>
        <v>568.82241014799149</v>
      </c>
      <c r="W16">
        <f t="shared" si="18"/>
        <v>135.82241014799149</v>
      </c>
      <c r="X16">
        <f t="shared" si="19"/>
        <v>532.3414101479915</v>
      </c>
      <c r="Y16">
        <f t="shared" si="10"/>
        <v>0.67919438984685931</v>
      </c>
      <c r="Z16">
        <f t="shared" si="11"/>
        <v>978101.39835055149</v>
      </c>
      <c r="AA16">
        <f t="shared" si="12"/>
        <v>164.22732503065538</v>
      </c>
      <c r="AB16" s="7">
        <f t="shared" si="13"/>
        <v>126.70137828465715</v>
      </c>
      <c r="AC16">
        <f t="shared" si="14"/>
        <v>59.483562999231488</v>
      </c>
      <c r="AD16">
        <v>5</v>
      </c>
      <c r="AE16">
        <v>4</v>
      </c>
      <c r="AF16">
        <v>-2</v>
      </c>
      <c r="AG16">
        <v>-3</v>
      </c>
      <c r="AH16">
        <f t="shared" si="15"/>
        <v>7.7480378373566541E-2</v>
      </c>
      <c r="AI16">
        <f t="shared" si="15"/>
        <v>5.8077564065738108E-2</v>
      </c>
      <c r="AJ16">
        <f t="shared" si="15"/>
        <v>2.0384653162369731E-2</v>
      </c>
      <c r="AK16">
        <f t="shared" si="15"/>
        <v>3.8655831353907356E-2</v>
      </c>
      <c r="AL16">
        <f t="shared" si="16"/>
        <v>0.19459842695558172</v>
      </c>
      <c r="AM16" s="7">
        <f t="shared" si="17"/>
        <v>66.733219322534396</v>
      </c>
    </row>
    <row r="17" spans="2:39" x14ac:dyDescent="0.25">
      <c r="B17">
        <v>-32</v>
      </c>
      <c r="C17" s="3">
        <f>(10*60)+42</f>
        <v>642</v>
      </c>
      <c r="D17">
        <v>3455.509</v>
      </c>
      <c r="E17">
        <v>0</v>
      </c>
      <c r="F17">
        <f t="shared" si="3"/>
        <v>3455.509</v>
      </c>
      <c r="G17">
        <f t="shared" si="0"/>
        <v>0.22675687103623757</v>
      </c>
      <c r="H17">
        <f t="shared" si="4"/>
        <v>3455.2822431289637</v>
      </c>
      <c r="I17" s="5">
        <f t="shared" si="5"/>
        <v>-31.149756871036061</v>
      </c>
      <c r="J17" s="7">
        <f t="shared" si="6"/>
        <v>978060.25824312901</v>
      </c>
      <c r="K17" s="5">
        <v>6</v>
      </c>
      <c r="L17" s="5">
        <v>39</v>
      </c>
      <c r="M17" s="5">
        <v>9.9600000000000009</v>
      </c>
      <c r="N17" s="8">
        <v>106</v>
      </c>
      <c r="O17" s="8">
        <v>33</v>
      </c>
      <c r="P17" s="8">
        <v>29.78</v>
      </c>
      <c r="Q17" s="9">
        <f t="shared" si="1"/>
        <v>-6.6527666666666674</v>
      </c>
      <c r="R17">
        <f t="shared" si="7"/>
        <v>106.55827222222221</v>
      </c>
      <c r="S17">
        <f t="shared" si="8"/>
        <v>-0.11611268270026144</v>
      </c>
      <c r="T17">
        <v>572</v>
      </c>
      <c r="U17">
        <f t="shared" si="2"/>
        <v>-8.9873150105708248</v>
      </c>
      <c r="V17">
        <f t="shared" si="9"/>
        <v>580.9873150105708</v>
      </c>
      <c r="W17">
        <f t="shared" si="18"/>
        <v>147.9873150105708</v>
      </c>
      <c r="X17">
        <f t="shared" si="19"/>
        <v>544.5063150105708</v>
      </c>
      <c r="Y17">
        <f t="shared" si="10"/>
        <v>0.69237543060536666</v>
      </c>
      <c r="Z17">
        <f t="shared" si="11"/>
        <v>978101.40367382905</v>
      </c>
      <c r="AA17">
        <f t="shared" si="12"/>
        <v>167.98019818076108</v>
      </c>
      <c r="AB17" s="7">
        <f t="shared" si="13"/>
        <v>126.83476748072252</v>
      </c>
      <c r="AC17">
        <f t="shared" si="14"/>
        <v>60.842863386123675</v>
      </c>
      <c r="AD17">
        <v>-3</v>
      </c>
      <c r="AE17">
        <v>-4</v>
      </c>
      <c r="AF17">
        <v>-2</v>
      </c>
      <c r="AG17">
        <v>-3</v>
      </c>
      <c r="AH17">
        <f t="shared" si="15"/>
        <v>3.8655831353907356E-2</v>
      </c>
      <c r="AI17">
        <f t="shared" si="15"/>
        <v>5.8077564065738108E-2</v>
      </c>
      <c r="AJ17">
        <f t="shared" si="15"/>
        <v>2.0384653162369731E-2</v>
      </c>
      <c r="AK17">
        <f t="shared" si="15"/>
        <v>3.8655831353907356E-2</v>
      </c>
      <c r="AL17">
        <f t="shared" si="16"/>
        <v>0.15577387993592254</v>
      </c>
      <c r="AM17" s="7">
        <f t="shared" si="17"/>
        <v>65.455302543929406</v>
      </c>
    </row>
    <row r="18" spans="2:39" x14ac:dyDescent="0.25">
      <c r="B18">
        <v>-33</v>
      </c>
      <c r="C18" s="3">
        <f>(10*60)+49</f>
        <v>649</v>
      </c>
      <c r="D18">
        <v>3456.4059999999999</v>
      </c>
      <c r="E18">
        <v>0</v>
      </c>
      <c r="F18">
        <f t="shared" si="3"/>
        <v>3456.4059999999999</v>
      </c>
      <c r="G18">
        <f t="shared" si="0"/>
        <v>0.23161099365780841</v>
      </c>
      <c r="H18">
        <f t="shared" si="4"/>
        <v>3456.1743890063422</v>
      </c>
      <c r="I18" s="5">
        <f t="shared" si="5"/>
        <v>-30.257610993657636</v>
      </c>
      <c r="J18" s="7">
        <f t="shared" si="6"/>
        <v>978061.15038900636</v>
      </c>
      <c r="K18" s="5">
        <v>6</v>
      </c>
      <c r="L18" s="5">
        <v>39</v>
      </c>
      <c r="M18" s="5">
        <v>11.22</v>
      </c>
      <c r="N18" s="8">
        <v>106</v>
      </c>
      <c r="O18" s="8">
        <v>33</v>
      </c>
      <c r="P18" s="8">
        <v>27.33</v>
      </c>
      <c r="Q18" s="9">
        <f t="shared" si="1"/>
        <v>-6.6531166666666675</v>
      </c>
      <c r="R18">
        <f t="shared" si="7"/>
        <v>106.55759166666667</v>
      </c>
      <c r="S18">
        <f t="shared" si="8"/>
        <v>-0.11611879135264341</v>
      </c>
      <c r="T18">
        <v>569</v>
      </c>
      <c r="U18">
        <f t="shared" si="2"/>
        <v>-9.1797040169133197</v>
      </c>
      <c r="V18">
        <f t="shared" si="9"/>
        <v>578.17970401691332</v>
      </c>
      <c r="W18">
        <f t="shared" si="18"/>
        <v>145.17970401691332</v>
      </c>
      <c r="X18">
        <f t="shared" si="19"/>
        <v>541.69870401691333</v>
      </c>
      <c r="Y18">
        <f t="shared" si="10"/>
        <v>0.68934257865999604</v>
      </c>
      <c r="Z18">
        <f t="shared" si="11"/>
        <v>978101.41096473031</v>
      </c>
      <c r="AA18">
        <f t="shared" si="12"/>
        <v>167.11405018921775</v>
      </c>
      <c r="AB18" s="7">
        <f t="shared" si="13"/>
        <v>126.853474465267</v>
      </c>
      <c r="AC18">
        <f t="shared" si="14"/>
        <v>60.529142337497881</v>
      </c>
      <c r="AD18">
        <v>3</v>
      </c>
      <c r="AE18">
        <v>4</v>
      </c>
      <c r="AF18">
        <v>-4</v>
      </c>
      <c r="AG18">
        <v>-4</v>
      </c>
      <c r="AH18">
        <f t="shared" si="15"/>
        <v>3.8655831353907356E-2</v>
      </c>
      <c r="AI18">
        <f t="shared" si="15"/>
        <v>5.8077564065738108E-2</v>
      </c>
      <c r="AJ18">
        <f t="shared" si="15"/>
        <v>5.8077564065738108E-2</v>
      </c>
      <c r="AK18">
        <f t="shared" si="15"/>
        <v>5.8077564065738108E-2</v>
      </c>
      <c r="AL18">
        <f t="shared" si="16"/>
        <v>0.21288852355112167</v>
      </c>
      <c r="AM18" s="7">
        <f t="shared" si="17"/>
        <v>65.847878072660237</v>
      </c>
    </row>
    <row r="19" spans="2:39" x14ac:dyDescent="0.25">
      <c r="B19">
        <v>-34</v>
      </c>
      <c r="C19" s="3">
        <f>(10*60)+56</f>
        <v>656</v>
      </c>
      <c r="D19">
        <v>3456.6469999999999</v>
      </c>
      <c r="E19">
        <v>0</v>
      </c>
      <c r="F19">
        <f t="shared" si="3"/>
        <v>3456.6469999999999</v>
      </c>
      <c r="G19">
        <f t="shared" si="0"/>
        <v>0.23646511627937924</v>
      </c>
      <c r="H19">
        <f t="shared" si="4"/>
        <v>3456.4105348837206</v>
      </c>
      <c r="I19" s="5">
        <f t="shared" si="5"/>
        <v>-30.02146511627916</v>
      </c>
      <c r="J19" s="7">
        <f t="shared" si="6"/>
        <v>978061.38653488376</v>
      </c>
      <c r="K19" s="5">
        <v>6</v>
      </c>
      <c r="L19" s="5">
        <v>39</v>
      </c>
      <c r="M19" s="5">
        <v>11.69</v>
      </c>
      <c r="N19" s="8">
        <v>106</v>
      </c>
      <c r="O19" s="8">
        <v>33</v>
      </c>
      <c r="P19" s="8">
        <v>25.11</v>
      </c>
      <c r="Q19" s="9">
        <f t="shared" si="1"/>
        <v>-6.6532472222222223</v>
      </c>
      <c r="R19">
        <f t="shared" si="7"/>
        <v>106.55697499999999</v>
      </c>
      <c r="S19">
        <f t="shared" si="8"/>
        <v>-0.11612106997694462</v>
      </c>
      <c r="T19">
        <v>567</v>
      </c>
      <c r="U19">
        <f t="shared" si="2"/>
        <v>-9.3720930232558146</v>
      </c>
      <c r="V19">
        <f t="shared" si="9"/>
        <v>576.37209302325584</v>
      </c>
      <c r="W19">
        <f t="shared" si="18"/>
        <v>143.37209302325584</v>
      </c>
      <c r="X19">
        <f t="shared" si="19"/>
        <v>539.89109302325585</v>
      </c>
      <c r="Y19">
        <f t="shared" si="10"/>
        <v>0.68738700527416952</v>
      </c>
      <c r="Z19">
        <f t="shared" si="11"/>
        <v>978101.41368444881</v>
      </c>
      <c r="AA19">
        <f t="shared" si="12"/>
        <v>166.55640219767443</v>
      </c>
      <c r="AB19" s="7">
        <f t="shared" si="13"/>
        <v>126.52925263262219</v>
      </c>
      <c r="AC19">
        <f t="shared" si="14"/>
        <v>60.327160788872092</v>
      </c>
      <c r="AD19">
        <v>-4</v>
      </c>
      <c r="AE19">
        <v>3</v>
      </c>
      <c r="AF19">
        <v>-3</v>
      </c>
      <c r="AG19">
        <v>-5</v>
      </c>
      <c r="AH19">
        <f t="shared" si="15"/>
        <v>5.8077564065738108E-2</v>
      </c>
      <c r="AI19">
        <f t="shared" si="15"/>
        <v>3.8655831353907356E-2</v>
      </c>
      <c r="AJ19">
        <f t="shared" si="15"/>
        <v>3.8655831353907356E-2</v>
      </c>
      <c r="AK19">
        <f t="shared" si="15"/>
        <v>7.7480378373566541E-2</v>
      </c>
      <c r="AL19">
        <f t="shared" si="16"/>
        <v>0.21286960514711933</v>
      </c>
      <c r="AM19" s="7">
        <f t="shared" si="17"/>
        <v>65.727574443623041</v>
      </c>
    </row>
    <row r="20" spans="2:39" x14ac:dyDescent="0.25">
      <c r="B20">
        <v>-35</v>
      </c>
      <c r="C20" s="3">
        <f>(11*60)+2</f>
        <v>662</v>
      </c>
      <c r="D20">
        <v>3456.65</v>
      </c>
      <c r="E20">
        <v>0</v>
      </c>
      <c r="F20">
        <f t="shared" si="3"/>
        <v>3456.65</v>
      </c>
      <c r="G20">
        <f t="shared" si="0"/>
        <v>0.24062579281215424</v>
      </c>
      <c r="H20">
        <f t="shared" si="4"/>
        <v>3456.4093742071877</v>
      </c>
      <c r="I20" s="5">
        <f t="shared" si="5"/>
        <v>-30.02262579281205</v>
      </c>
      <c r="J20" s="7">
        <f t="shared" si="6"/>
        <v>978061.38537420728</v>
      </c>
      <c r="K20" s="5">
        <v>6</v>
      </c>
      <c r="L20" s="5">
        <v>39</v>
      </c>
      <c r="M20" s="5">
        <v>12.69</v>
      </c>
      <c r="N20" s="8">
        <v>106</v>
      </c>
      <c r="O20" s="8">
        <v>33</v>
      </c>
      <c r="P20" s="8">
        <v>24.51</v>
      </c>
      <c r="Q20" s="9">
        <f t="shared" si="1"/>
        <v>-6.6535250000000001</v>
      </c>
      <c r="R20">
        <f t="shared" si="7"/>
        <v>106.55680833333334</v>
      </c>
      <c r="S20">
        <f t="shared" si="8"/>
        <v>-0.11612591811375572</v>
      </c>
      <c r="T20">
        <v>567</v>
      </c>
      <c r="U20">
        <f t="shared" si="2"/>
        <v>-9.5369978858350954</v>
      </c>
      <c r="V20">
        <f t="shared" si="9"/>
        <v>576.53699788583515</v>
      </c>
      <c r="W20">
        <f t="shared" si="18"/>
        <v>143.53699788583515</v>
      </c>
      <c r="X20">
        <f t="shared" si="19"/>
        <v>540.05599788583515</v>
      </c>
      <c r="Y20">
        <f t="shared" si="10"/>
        <v>0.68756550413835116</v>
      </c>
      <c r="Z20">
        <f t="shared" si="11"/>
        <v>978101.41947125795</v>
      </c>
      <c r="AA20">
        <f t="shared" si="12"/>
        <v>166.60727534778013</v>
      </c>
      <c r="AB20" s="7">
        <f t="shared" si="13"/>
        <v>126.57317829711425</v>
      </c>
      <c r="AC20">
        <f t="shared" si="14"/>
        <v>60.345587175764273</v>
      </c>
      <c r="AD20">
        <v>-3</v>
      </c>
      <c r="AE20">
        <v>3</v>
      </c>
      <c r="AF20">
        <v>-2</v>
      </c>
      <c r="AG20">
        <v>-3</v>
      </c>
      <c r="AH20">
        <f t="shared" si="15"/>
        <v>3.8655831353907356E-2</v>
      </c>
      <c r="AI20">
        <f t="shared" si="15"/>
        <v>3.8655831353907356E-2</v>
      </c>
      <c r="AJ20">
        <f t="shared" si="15"/>
        <v>2.0384653162369731E-2</v>
      </c>
      <c r="AK20">
        <f t="shared" si="15"/>
        <v>3.8655831353907356E-2</v>
      </c>
      <c r="AL20">
        <f t="shared" si="16"/>
        <v>0.13635214722409181</v>
      </c>
      <c r="AM20" s="7">
        <f t="shared" si="17"/>
        <v>65.676377764435713</v>
      </c>
    </row>
    <row r="21" spans="2:39" x14ac:dyDescent="0.25">
      <c r="B21">
        <v>-36</v>
      </c>
      <c r="C21" s="3">
        <f>(11*60)+1</f>
        <v>661</v>
      </c>
      <c r="D21">
        <v>3455.9430000000002</v>
      </c>
      <c r="E21">
        <v>0</v>
      </c>
      <c r="F21">
        <f t="shared" si="3"/>
        <v>3455.9430000000002</v>
      </c>
      <c r="G21">
        <f t="shared" si="0"/>
        <v>0.23993234672335842</v>
      </c>
      <c r="H21">
        <f t="shared" si="4"/>
        <v>3455.7030676532768</v>
      </c>
      <c r="I21" s="5">
        <f t="shared" si="5"/>
        <v>-30.728932346723013</v>
      </c>
      <c r="J21" s="7">
        <f t="shared" si="6"/>
        <v>978060.67906765337</v>
      </c>
      <c r="K21" s="5">
        <v>6</v>
      </c>
      <c r="L21" s="5">
        <v>39</v>
      </c>
      <c r="M21" s="5">
        <v>12.25</v>
      </c>
      <c r="N21" s="8">
        <v>106</v>
      </c>
      <c r="O21" s="8">
        <v>33</v>
      </c>
      <c r="P21" s="8">
        <v>23.55</v>
      </c>
      <c r="Q21" s="9">
        <f t="shared" si="1"/>
        <v>-6.653402777777778</v>
      </c>
      <c r="R21">
        <f t="shared" si="7"/>
        <v>106.55654166666666</v>
      </c>
      <c r="S21">
        <f t="shared" si="8"/>
        <v>-0.11612378493355884</v>
      </c>
      <c r="T21">
        <v>572</v>
      </c>
      <c r="U21">
        <f t="shared" si="2"/>
        <v>-9.5095137420718814</v>
      </c>
      <c r="V21">
        <f t="shared" si="9"/>
        <v>581.50951374207193</v>
      </c>
      <c r="W21">
        <f t="shared" si="18"/>
        <v>148.50951374207193</v>
      </c>
      <c r="X21">
        <f t="shared" si="19"/>
        <v>545.02851374207194</v>
      </c>
      <c r="Y21">
        <f t="shared" si="10"/>
        <v>0.69293890864775398</v>
      </c>
      <c r="Z21">
        <f t="shared" si="11"/>
        <v>978101.41692503262</v>
      </c>
      <c r="AA21">
        <f t="shared" si="12"/>
        <v>168.14129648942918</v>
      </c>
      <c r="AB21" s="7">
        <f t="shared" si="13"/>
        <v>127.40343911017709</v>
      </c>
      <c r="AC21">
        <f t="shared" si="14"/>
        <v>60.901213611282245</v>
      </c>
      <c r="AD21">
        <v>-5</v>
      </c>
      <c r="AE21">
        <v>4</v>
      </c>
      <c r="AF21">
        <v>2</v>
      </c>
      <c r="AG21">
        <v>2</v>
      </c>
      <c r="AH21">
        <f t="shared" si="15"/>
        <v>7.7480378373566541E-2</v>
      </c>
      <c r="AI21">
        <f t="shared" si="15"/>
        <v>5.8077564065738108E-2</v>
      </c>
      <c r="AJ21">
        <f t="shared" si="15"/>
        <v>2.0384653162369731E-2</v>
      </c>
      <c r="AK21">
        <f t="shared" si="15"/>
        <v>2.0384653162369731E-2</v>
      </c>
      <c r="AL21">
        <f t="shared" si="16"/>
        <v>0.1763272487640441</v>
      </c>
      <c r="AM21" s="7">
        <f t="shared" si="17"/>
        <v>65.985613839011137</v>
      </c>
    </row>
    <row r="22" spans="2:39" x14ac:dyDescent="0.25">
      <c r="B22">
        <v>-37</v>
      </c>
      <c r="C22" s="3">
        <f>(11*60)+16</f>
        <v>676</v>
      </c>
      <c r="D22">
        <v>3455.3510000000001</v>
      </c>
      <c r="E22">
        <v>0</v>
      </c>
      <c r="F22">
        <f t="shared" si="3"/>
        <v>3455.3510000000001</v>
      </c>
      <c r="G22">
        <f t="shared" si="0"/>
        <v>0.25033403805529592</v>
      </c>
      <c r="H22">
        <f t="shared" si="4"/>
        <v>3455.1006659619447</v>
      </c>
      <c r="I22" s="5">
        <f t="shared" si="5"/>
        <v>-31.331334038055047</v>
      </c>
      <c r="J22" s="7">
        <f t="shared" si="6"/>
        <v>978060.076665962</v>
      </c>
      <c r="K22" s="5">
        <v>6</v>
      </c>
      <c r="L22" s="5">
        <v>39</v>
      </c>
      <c r="M22" s="5">
        <v>13.9</v>
      </c>
      <c r="N22" s="8">
        <v>106</v>
      </c>
      <c r="O22" s="8">
        <v>33</v>
      </c>
      <c r="P22" s="8">
        <v>22.18</v>
      </c>
      <c r="Q22" s="9">
        <f t="shared" si="1"/>
        <v>-6.6538611111111114</v>
      </c>
      <c r="R22">
        <f t="shared" si="7"/>
        <v>106.55616111111111</v>
      </c>
      <c r="S22">
        <f t="shared" si="8"/>
        <v>-0.11613178435929715</v>
      </c>
      <c r="T22">
        <v>574</v>
      </c>
      <c r="U22">
        <f t="shared" si="2"/>
        <v>-9.9217758985200852</v>
      </c>
      <c r="V22">
        <f t="shared" si="9"/>
        <v>583.92177589852008</v>
      </c>
      <c r="W22">
        <f t="shared" si="18"/>
        <v>150.92177589852008</v>
      </c>
      <c r="X22">
        <f t="shared" si="19"/>
        <v>547.44077589852009</v>
      </c>
      <c r="Y22">
        <f t="shared" si="10"/>
        <v>0.69553935764367147</v>
      </c>
      <c r="Z22">
        <f t="shared" si="11"/>
        <v>978101.42647361453</v>
      </c>
      <c r="AA22">
        <f t="shared" si="12"/>
        <v>168.88547936469345</v>
      </c>
      <c r="AB22" s="7">
        <f t="shared" si="13"/>
        <v>127.53567171216505</v>
      </c>
      <c r="AC22">
        <f t="shared" si="14"/>
        <v>61.170758578512682</v>
      </c>
      <c r="AD22">
        <v>3</v>
      </c>
      <c r="AE22">
        <v>4</v>
      </c>
      <c r="AF22">
        <v>-2</v>
      </c>
      <c r="AG22">
        <v>-3</v>
      </c>
      <c r="AH22">
        <f t="shared" si="15"/>
        <v>3.8655831353907356E-2</v>
      </c>
      <c r="AI22">
        <f t="shared" si="15"/>
        <v>5.8077564065738108E-2</v>
      </c>
      <c r="AJ22">
        <f t="shared" si="15"/>
        <v>2.0384653162369731E-2</v>
      </c>
      <c r="AK22">
        <f t="shared" si="15"/>
        <v>3.8655831353907356E-2</v>
      </c>
      <c r="AL22">
        <f t="shared" si="16"/>
        <v>0.15577387993592254</v>
      </c>
      <c r="AM22" s="7">
        <f t="shared" si="17"/>
        <v>65.825147655944633</v>
      </c>
    </row>
    <row r="23" spans="2:39" x14ac:dyDescent="0.25">
      <c r="B23">
        <v>-38</v>
      </c>
      <c r="C23" s="3">
        <f>(11*60)+21</f>
        <v>681</v>
      </c>
      <c r="D23">
        <v>3454.2240000000002</v>
      </c>
      <c r="E23">
        <v>0</v>
      </c>
      <c r="F23">
        <f t="shared" si="3"/>
        <v>3454.2240000000002</v>
      </c>
      <c r="G23">
        <f t="shared" si="0"/>
        <v>0.25380126849927509</v>
      </c>
      <c r="H23">
        <f t="shared" si="4"/>
        <v>3453.9701987315007</v>
      </c>
      <c r="I23" s="5">
        <f t="shared" si="5"/>
        <v>-32.46180126849913</v>
      </c>
      <c r="J23" s="7">
        <f t="shared" si="6"/>
        <v>978058.94619873154</v>
      </c>
      <c r="K23" s="5">
        <v>6</v>
      </c>
      <c r="L23" s="5">
        <v>39</v>
      </c>
      <c r="M23" s="5">
        <v>14.59</v>
      </c>
      <c r="N23" s="8">
        <v>106</v>
      </c>
      <c r="O23" s="8">
        <v>33</v>
      </c>
      <c r="P23" s="8">
        <v>20.61</v>
      </c>
      <c r="Q23" s="9">
        <f t="shared" si="1"/>
        <v>-6.6540527777777783</v>
      </c>
      <c r="R23">
        <f t="shared" si="7"/>
        <v>106.555725</v>
      </c>
      <c r="S23">
        <f t="shared" si="8"/>
        <v>-0.1161351295736968</v>
      </c>
      <c r="T23">
        <v>580</v>
      </c>
      <c r="U23">
        <f t="shared" si="2"/>
        <v>-10.059196617336152</v>
      </c>
      <c r="V23">
        <f t="shared" si="9"/>
        <v>590.05919661733617</v>
      </c>
      <c r="W23">
        <f t="shared" si="18"/>
        <v>157.05919661733617</v>
      </c>
      <c r="X23">
        <f t="shared" si="19"/>
        <v>553.57819661733618</v>
      </c>
      <c r="Y23">
        <f t="shared" si="10"/>
        <v>0.70213704115781927</v>
      </c>
      <c r="Z23">
        <f t="shared" si="11"/>
        <v>978101.43046684924</v>
      </c>
      <c r="AA23">
        <f t="shared" si="12"/>
        <v>170.77887365644821</v>
      </c>
      <c r="AB23" s="7">
        <f t="shared" si="13"/>
        <v>128.29460553875217</v>
      </c>
      <c r="AC23">
        <f t="shared" si="14"/>
        <v>61.856550900922834</v>
      </c>
      <c r="AD23">
        <v>-4</v>
      </c>
      <c r="AE23">
        <v>1</v>
      </c>
      <c r="AF23">
        <v>2</v>
      </c>
      <c r="AG23">
        <v>-2</v>
      </c>
      <c r="AH23">
        <f t="shared" si="15"/>
        <v>5.8077564065738108E-2</v>
      </c>
      <c r="AI23">
        <f t="shared" si="15"/>
        <v>5.905047403128365E-3</v>
      </c>
      <c r="AJ23">
        <f t="shared" si="15"/>
        <v>2.0384653162369731E-2</v>
      </c>
      <c r="AK23">
        <f t="shared" si="15"/>
        <v>2.0384653162369731E-2</v>
      </c>
      <c r="AL23">
        <f t="shared" si="16"/>
        <v>0.10475191779360593</v>
      </c>
      <c r="AM23" s="7">
        <f t="shared" si="17"/>
        <v>65.84066951446512</v>
      </c>
    </row>
    <row r="24" spans="2:39" x14ac:dyDescent="0.25">
      <c r="B24">
        <v>-39</v>
      </c>
      <c r="C24" s="3">
        <f>(11*60)+25</f>
        <v>685</v>
      </c>
      <c r="D24">
        <v>3453.6970000000001</v>
      </c>
      <c r="E24">
        <v>0</v>
      </c>
      <c r="F24">
        <f t="shared" si="3"/>
        <v>3453.6970000000001</v>
      </c>
      <c r="G24">
        <f t="shared" si="0"/>
        <v>0.25657505285445842</v>
      </c>
      <c r="H24">
        <f t="shared" si="4"/>
        <v>3453.4404249471459</v>
      </c>
      <c r="I24" s="5">
        <f t="shared" si="5"/>
        <v>-32.991575052853932</v>
      </c>
      <c r="J24" s="7">
        <f t="shared" si="6"/>
        <v>978058.41642494721</v>
      </c>
      <c r="K24" s="5">
        <v>6</v>
      </c>
      <c r="L24" s="5">
        <v>39</v>
      </c>
      <c r="M24" s="5">
        <v>15.45</v>
      </c>
      <c r="N24" s="8">
        <v>106</v>
      </c>
      <c r="O24" s="8">
        <v>33</v>
      </c>
      <c r="P24" s="8">
        <v>18.690000000000001</v>
      </c>
      <c r="Q24" s="9">
        <f t="shared" si="1"/>
        <v>-6.6542916666666674</v>
      </c>
      <c r="R24">
        <f t="shared" si="7"/>
        <v>106.55519166666666</v>
      </c>
      <c r="S24">
        <f t="shared" si="8"/>
        <v>-0.11613929897135435</v>
      </c>
      <c r="T24">
        <v>584</v>
      </c>
      <c r="U24">
        <f t="shared" si="2"/>
        <v>-10.169133192389006</v>
      </c>
      <c r="V24">
        <f t="shared" si="9"/>
        <v>594.16913319238904</v>
      </c>
      <c r="W24">
        <f t="shared" si="18"/>
        <v>161.16913319238904</v>
      </c>
      <c r="X24">
        <f t="shared" si="19"/>
        <v>557.68813319238905</v>
      </c>
      <c r="Y24">
        <f t="shared" si="10"/>
        <v>0.70654031842596154</v>
      </c>
      <c r="Z24">
        <f t="shared" si="11"/>
        <v>978101.43544408248</v>
      </c>
      <c r="AA24">
        <f t="shared" si="12"/>
        <v>172.04678908985201</v>
      </c>
      <c r="AB24" s="7">
        <f t="shared" si="13"/>
        <v>129.02776995457802</v>
      </c>
      <c r="AC24">
        <f t="shared" si="14"/>
        <v>62.315793158850951</v>
      </c>
      <c r="AD24">
        <v>-3</v>
      </c>
      <c r="AE24">
        <v>-3</v>
      </c>
      <c r="AF24">
        <v>4</v>
      </c>
      <c r="AG24">
        <v>-2</v>
      </c>
      <c r="AH24">
        <f t="shared" si="15"/>
        <v>3.8655831353907356E-2</v>
      </c>
      <c r="AI24">
        <f t="shared" si="15"/>
        <v>3.8655831353907356E-2</v>
      </c>
      <c r="AJ24">
        <f t="shared" si="15"/>
        <v>5.8077564065738108E-2</v>
      </c>
      <c r="AK24">
        <f t="shared" si="15"/>
        <v>2.0384653162369731E-2</v>
      </c>
      <c r="AL24">
        <f t="shared" si="16"/>
        <v>0.15577387993592254</v>
      </c>
      <c r="AM24" s="7">
        <f t="shared" si="17"/>
        <v>66.161210357237024</v>
      </c>
    </row>
    <row r="25" spans="2:39" x14ac:dyDescent="0.25">
      <c r="B25">
        <v>-20</v>
      </c>
      <c r="C25" s="3">
        <f>(12*60)+25</f>
        <v>745</v>
      </c>
      <c r="D25">
        <v>3475.2559999999999</v>
      </c>
      <c r="E25">
        <v>0</v>
      </c>
      <c r="F25">
        <f t="shared" si="3"/>
        <v>3475.2559999999999</v>
      </c>
      <c r="G25">
        <f t="shared" si="0"/>
        <v>0.2981818181822084</v>
      </c>
      <c r="H25">
        <f t="shared" si="4"/>
        <v>3474.9578181818179</v>
      </c>
      <c r="I25" s="5">
        <f t="shared" si="5"/>
        <v>-11.474181818181933</v>
      </c>
      <c r="J25" s="7">
        <f t="shared" si="6"/>
        <v>978079.93381818186</v>
      </c>
      <c r="K25" s="5">
        <v>6</v>
      </c>
      <c r="L25" s="5">
        <v>38</v>
      </c>
      <c r="M25" s="5">
        <v>37.29</v>
      </c>
      <c r="N25" s="8">
        <v>106</v>
      </c>
      <c r="O25" s="8">
        <v>33</v>
      </c>
      <c r="P25" s="8">
        <v>17.48</v>
      </c>
      <c r="Q25" s="9">
        <f t="shared" si="1"/>
        <v>-6.6436916666666663</v>
      </c>
      <c r="R25">
        <f t="shared" si="7"/>
        <v>106.55485555555555</v>
      </c>
      <c r="S25">
        <f t="shared" si="8"/>
        <v>-0.11595429407064294</v>
      </c>
      <c r="T25">
        <v>478</v>
      </c>
      <c r="U25">
        <f t="shared" si="2"/>
        <v>-11.818181818181818</v>
      </c>
      <c r="V25">
        <f t="shared" si="9"/>
        <v>489.81818181818181</v>
      </c>
      <c r="W25">
        <f t="shared" si="18"/>
        <v>56.818181818181813</v>
      </c>
      <c r="X25">
        <f t="shared" si="19"/>
        <v>453.33718181818182</v>
      </c>
      <c r="Y25">
        <f t="shared" si="10"/>
        <v>0.59104689806175092</v>
      </c>
      <c r="Z25">
        <f t="shared" si="11"/>
        <v>978101.21476266417</v>
      </c>
      <c r="AA25">
        <f t="shared" si="12"/>
        <v>139.85452059090909</v>
      </c>
      <c r="AB25" s="7">
        <f t="shared" si="13"/>
        <v>118.57357610860214</v>
      </c>
      <c r="AC25">
        <f t="shared" si="14"/>
        <v>50.655670027772722</v>
      </c>
      <c r="AD25">
        <v>-3</v>
      </c>
      <c r="AE25">
        <v>-2</v>
      </c>
      <c r="AF25">
        <v>3</v>
      </c>
      <c r="AG25">
        <v>4</v>
      </c>
      <c r="AH25">
        <f t="shared" si="15"/>
        <v>3.8655831353907356E-2</v>
      </c>
      <c r="AI25">
        <f t="shared" si="15"/>
        <v>2.0384653162369731E-2</v>
      </c>
      <c r="AJ25">
        <f t="shared" si="15"/>
        <v>3.8655831353907356E-2</v>
      </c>
      <c r="AK25">
        <f t="shared" si="15"/>
        <v>5.8077564065738108E-2</v>
      </c>
      <c r="AL25">
        <f t="shared" si="16"/>
        <v>0.15577387993592257</v>
      </c>
      <c r="AM25" s="7">
        <f t="shared" si="17"/>
        <v>67.482633062703599</v>
      </c>
    </row>
    <row r="26" spans="2:39" x14ac:dyDescent="0.25">
      <c r="B26">
        <v>-19</v>
      </c>
      <c r="C26" s="3">
        <f>(12*60)+3</f>
        <v>723</v>
      </c>
      <c r="D26">
        <v>3476.0740000000001</v>
      </c>
      <c r="E26">
        <v>0</v>
      </c>
      <c r="F26">
        <f t="shared" si="3"/>
        <v>3476.0740000000001</v>
      </c>
      <c r="G26">
        <f t="shared" si="0"/>
        <v>0.28292600422870007</v>
      </c>
      <c r="H26">
        <f t="shared" si="4"/>
        <v>3475.7910739957715</v>
      </c>
      <c r="I26" s="5">
        <f t="shared" si="5"/>
        <v>-10.640926004228277</v>
      </c>
      <c r="J26" s="7">
        <f t="shared" si="6"/>
        <v>978080.76707399578</v>
      </c>
      <c r="K26" s="5">
        <v>6</v>
      </c>
      <c r="L26" s="5">
        <v>38</v>
      </c>
      <c r="M26" s="5">
        <v>36.549999999999997</v>
      </c>
      <c r="N26" s="8">
        <v>106</v>
      </c>
      <c r="O26" s="8">
        <v>33</v>
      </c>
      <c r="P26" s="8">
        <v>18.059999999999999</v>
      </c>
      <c r="Q26" s="9">
        <f t="shared" si="1"/>
        <v>-6.6434861111111108</v>
      </c>
      <c r="R26">
        <f t="shared" si="7"/>
        <v>106.55501666666666</v>
      </c>
      <c r="S26">
        <f t="shared" si="8"/>
        <v>-0.11595070644940272</v>
      </c>
      <c r="T26">
        <v>474</v>
      </c>
      <c r="U26">
        <f t="shared" si="2"/>
        <v>-11.213530655391121</v>
      </c>
      <c r="V26">
        <f t="shared" si="9"/>
        <v>485.21353065539114</v>
      </c>
      <c r="W26">
        <f t="shared" si="18"/>
        <v>52.213530655391139</v>
      </c>
      <c r="X26">
        <f t="shared" si="19"/>
        <v>448.73253065539114</v>
      </c>
      <c r="Y26">
        <f t="shared" si="10"/>
        <v>0.58577336340671649</v>
      </c>
      <c r="Z26">
        <f t="shared" si="11"/>
        <v>978101.2104866174</v>
      </c>
      <c r="AA26">
        <f t="shared" si="12"/>
        <v>138.43398570718816</v>
      </c>
      <c r="AB26" s="7">
        <f t="shared" si="13"/>
        <v>117.99057308556618</v>
      </c>
      <c r="AC26">
        <f t="shared" si="14"/>
        <v>50.141148609168077</v>
      </c>
      <c r="AD26">
        <v>-4</v>
      </c>
      <c r="AE26">
        <v>-3</v>
      </c>
      <c r="AF26">
        <v>4</v>
      </c>
      <c r="AG26">
        <v>3</v>
      </c>
      <c r="AH26">
        <f t="shared" si="15"/>
        <v>5.8077564065738108E-2</v>
      </c>
      <c r="AI26">
        <f t="shared" si="15"/>
        <v>3.8655831353907356E-2</v>
      </c>
      <c r="AJ26">
        <f t="shared" si="15"/>
        <v>5.8077564065738108E-2</v>
      </c>
      <c r="AK26">
        <f t="shared" si="15"/>
        <v>3.8655831353907356E-2</v>
      </c>
      <c r="AL26">
        <f t="shared" si="16"/>
        <v>0.19346679083929091</v>
      </c>
      <c r="AM26" s="7">
        <f t="shared" si="17"/>
        <v>67.457117903830678</v>
      </c>
    </row>
    <row r="27" spans="2:39" x14ac:dyDescent="0.25">
      <c r="B27">
        <v>-18</v>
      </c>
      <c r="C27" s="3">
        <f>(12*60)+34</f>
        <v>754</v>
      </c>
      <c r="D27">
        <v>3478.29</v>
      </c>
      <c r="E27">
        <v>0</v>
      </c>
      <c r="F27">
        <f t="shared" si="3"/>
        <v>3478.29</v>
      </c>
      <c r="G27">
        <f t="shared" si="0"/>
        <v>0.30442283298137091</v>
      </c>
      <c r="H27">
        <f t="shared" si="4"/>
        <v>3477.9855771670186</v>
      </c>
      <c r="I27" s="5">
        <f t="shared" si="5"/>
        <v>-8.4464228329811704</v>
      </c>
      <c r="J27" s="7">
        <f t="shared" si="6"/>
        <v>978082.96157716704</v>
      </c>
      <c r="K27" s="5">
        <v>6</v>
      </c>
      <c r="L27" s="5">
        <v>38</v>
      </c>
      <c r="M27" s="5">
        <v>35.68</v>
      </c>
      <c r="N27" s="8">
        <v>106</v>
      </c>
      <c r="O27" s="8">
        <v>33</v>
      </c>
      <c r="P27" s="8">
        <v>19.100000000000001</v>
      </c>
      <c r="Q27" s="9">
        <f t="shared" si="1"/>
        <v>-6.6432444444444441</v>
      </c>
      <c r="R27">
        <f t="shared" si="7"/>
        <v>106.55530555555555</v>
      </c>
      <c r="S27">
        <f t="shared" si="8"/>
        <v>-0.11594648857037707</v>
      </c>
      <c r="T27">
        <v>464</v>
      </c>
      <c r="U27">
        <f t="shared" si="2"/>
        <v>-12.06553911205074</v>
      </c>
      <c r="V27">
        <f t="shared" si="9"/>
        <v>476.06553911205071</v>
      </c>
      <c r="W27">
        <f t="shared" si="18"/>
        <v>43.065539112050715</v>
      </c>
      <c r="X27">
        <f t="shared" si="19"/>
        <v>439.58453911205072</v>
      </c>
      <c r="Y27">
        <f t="shared" si="10"/>
        <v>0.57525207385129506</v>
      </c>
      <c r="Z27">
        <f t="shared" si="11"/>
        <v>978101.20545953955</v>
      </c>
      <c r="AA27">
        <f t="shared" si="12"/>
        <v>135.61183031606765</v>
      </c>
      <c r="AB27" s="7">
        <f t="shared" si="13"/>
        <v>117.36794794355797</v>
      </c>
      <c r="AC27">
        <f t="shared" si="14"/>
        <v>49.118956608110985</v>
      </c>
      <c r="AD27">
        <v>-5</v>
      </c>
      <c r="AE27">
        <v>-4</v>
      </c>
      <c r="AF27">
        <v>4</v>
      </c>
      <c r="AG27">
        <v>3</v>
      </c>
      <c r="AH27">
        <f t="shared" si="15"/>
        <v>7.7480378373566541E-2</v>
      </c>
      <c r="AI27">
        <f t="shared" si="15"/>
        <v>5.8077564065738108E-2</v>
      </c>
      <c r="AJ27">
        <f t="shared" si="15"/>
        <v>5.8077564065738108E-2</v>
      </c>
      <c r="AK27">
        <f t="shared" si="15"/>
        <v>3.8655831353907356E-2</v>
      </c>
      <c r="AL27">
        <f t="shared" si="16"/>
        <v>0.23229133785895009</v>
      </c>
      <c r="AM27" s="7">
        <f t="shared" si="17"/>
        <v>67.906030599454652</v>
      </c>
    </row>
    <row r="28" spans="2:39" x14ac:dyDescent="0.25">
      <c r="B28">
        <v>-17</v>
      </c>
      <c r="C28" s="3">
        <f>(12*60)+4</f>
        <v>724</v>
      </c>
      <c r="D28">
        <v>3481.7660000000001</v>
      </c>
      <c r="E28">
        <v>0</v>
      </c>
      <c r="F28">
        <f t="shared" si="3"/>
        <v>3481.7660000000001</v>
      </c>
      <c r="G28">
        <f t="shared" si="0"/>
        <v>0.28361945031749591</v>
      </c>
      <c r="H28">
        <f t="shared" si="4"/>
        <v>3481.4823805496826</v>
      </c>
      <c r="I28" s="5">
        <f t="shared" si="5"/>
        <v>-4.9496194503171864</v>
      </c>
      <c r="J28" s="7">
        <f t="shared" si="6"/>
        <v>978086.45838054968</v>
      </c>
      <c r="K28" s="5">
        <v>6</v>
      </c>
      <c r="L28" s="5">
        <v>38</v>
      </c>
      <c r="M28" s="5">
        <v>35.119999999999997</v>
      </c>
      <c r="N28" s="8">
        <v>106</v>
      </c>
      <c r="O28" s="8">
        <v>33</v>
      </c>
      <c r="P28" s="8">
        <v>20.69</v>
      </c>
      <c r="Q28" s="9">
        <f t="shared" si="1"/>
        <v>-6.6430888888888884</v>
      </c>
      <c r="R28">
        <f t="shared" si="7"/>
        <v>106.55574722222222</v>
      </c>
      <c r="S28">
        <f t="shared" si="8"/>
        <v>-0.11594377361376286</v>
      </c>
      <c r="T28">
        <v>449</v>
      </c>
      <c r="U28">
        <f t="shared" si="2"/>
        <v>-11.241014799154334</v>
      </c>
      <c r="V28">
        <f t="shared" si="9"/>
        <v>460.24101479915436</v>
      </c>
      <c r="W28">
        <f t="shared" si="18"/>
        <v>27.241014799154357</v>
      </c>
      <c r="X28">
        <f t="shared" si="19"/>
        <v>423.76001479915436</v>
      </c>
      <c r="Y28">
        <f t="shared" si="10"/>
        <v>0.55691238736545845</v>
      </c>
      <c r="Z28">
        <f t="shared" si="11"/>
        <v>978101.20222381409</v>
      </c>
      <c r="AA28">
        <f t="shared" si="12"/>
        <v>130.72996456553912</v>
      </c>
      <c r="AB28" s="7">
        <f t="shared" si="13"/>
        <v>115.98612130112699</v>
      </c>
      <c r="AC28">
        <f t="shared" si="14"/>
        <v>47.350732173650108</v>
      </c>
      <c r="AD28">
        <v>-5</v>
      </c>
      <c r="AE28">
        <v>-4</v>
      </c>
      <c r="AF28">
        <v>5</v>
      </c>
      <c r="AG28">
        <v>4</v>
      </c>
      <c r="AH28">
        <f t="shared" si="15"/>
        <v>7.7480378373566541E-2</v>
      </c>
      <c r="AI28">
        <f t="shared" si="15"/>
        <v>5.8077564065738108E-2</v>
      </c>
      <c r="AJ28">
        <f t="shared" si="15"/>
        <v>7.7480378373566541E-2</v>
      </c>
      <c r="AK28">
        <f t="shared" si="15"/>
        <v>5.8077564065738108E-2</v>
      </c>
      <c r="AL28">
        <f t="shared" si="16"/>
        <v>0.27111588487860927</v>
      </c>
      <c r="AM28" s="7">
        <f t="shared" si="17"/>
        <v>68.349592624990038</v>
      </c>
    </row>
    <row r="29" spans="2:39" x14ac:dyDescent="0.25">
      <c r="B29">
        <v>-16</v>
      </c>
      <c r="C29" s="3">
        <f>(12*60)+46</f>
        <v>766</v>
      </c>
      <c r="D29">
        <v>3483.3009999999999</v>
      </c>
      <c r="E29">
        <v>0</v>
      </c>
      <c r="F29">
        <f t="shared" si="3"/>
        <v>3483.3009999999999</v>
      </c>
      <c r="G29">
        <f t="shared" si="0"/>
        <v>0.31274418604692095</v>
      </c>
      <c r="H29">
        <f t="shared" si="4"/>
        <v>3482.9882558139529</v>
      </c>
      <c r="I29" s="5">
        <f t="shared" si="5"/>
        <v>-3.4437441860468425</v>
      </c>
      <c r="J29" s="7">
        <f t="shared" si="6"/>
        <v>978087.96425581397</v>
      </c>
      <c r="K29" s="5">
        <v>6</v>
      </c>
      <c r="L29" s="5">
        <v>38</v>
      </c>
      <c r="M29" s="5">
        <v>34.380000000000003</v>
      </c>
      <c r="N29" s="8">
        <v>106</v>
      </c>
      <c r="O29" s="8">
        <v>33</v>
      </c>
      <c r="P29" s="8">
        <v>21.79</v>
      </c>
      <c r="Q29" s="9">
        <f t="shared" si="1"/>
        <v>-6.6428833333333328</v>
      </c>
      <c r="R29">
        <f t="shared" si="7"/>
        <v>106.55605277777778</v>
      </c>
      <c r="S29">
        <f t="shared" si="8"/>
        <v>-0.11594018599252265</v>
      </c>
      <c r="T29">
        <v>441</v>
      </c>
      <c r="U29">
        <f t="shared" si="2"/>
        <v>-12.395348837209303</v>
      </c>
      <c r="V29">
        <f t="shared" si="9"/>
        <v>453.39534883720933</v>
      </c>
      <c r="W29">
        <f t="shared" si="18"/>
        <v>20.395348837209326</v>
      </c>
      <c r="X29">
        <f t="shared" si="19"/>
        <v>416.91434883720933</v>
      </c>
      <c r="Y29">
        <f t="shared" si="10"/>
        <v>0.54892384974373265</v>
      </c>
      <c r="Z29">
        <f t="shared" si="11"/>
        <v>978101.19794814847</v>
      </c>
      <c r="AA29">
        <f t="shared" si="12"/>
        <v>128.61807661627907</v>
      </c>
      <c r="AB29" s="7">
        <f t="shared" si="13"/>
        <v>115.38438428177986</v>
      </c>
      <c r="AC29">
        <f t="shared" si="14"/>
        <v>46.585800881895345</v>
      </c>
      <c r="AD29">
        <v>-4</v>
      </c>
      <c r="AE29">
        <v>4</v>
      </c>
      <c r="AF29">
        <v>-3</v>
      </c>
      <c r="AG29">
        <v>4</v>
      </c>
      <c r="AH29">
        <f t="shared" si="15"/>
        <v>5.8077564065738108E-2</v>
      </c>
      <c r="AI29">
        <f t="shared" si="15"/>
        <v>5.8077564065738108E-2</v>
      </c>
      <c r="AJ29">
        <f t="shared" si="15"/>
        <v>3.8655831353907356E-2</v>
      </c>
      <c r="AK29">
        <f t="shared" si="15"/>
        <v>5.8077564065738108E-2</v>
      </c>
      <c r="AL29">
        <f t="shared" si="16"/>
        <v>0.21288852355112167</v>
      </c>
      <c r="AM29" s="7">
        <f t="shared" si="17"/>
        <v>68.462548073691892</v>
      </c>
    </row>
    <row r="30" spans="2:39" x14ac:dyDescent="0.25">
      <c r="B30" t="s">
        <v>41</v>
      </c>
      <c r="C30" s="3">
        <f>(13*60)+8</f>
        <v>788</v>
      </c>
      <c r="D30">
        <v>3486.76</v>
      </c>
      <c r="E30">
        <v>0</v>
      </c>
      <c r="F30">
        <f t="shared" si="3"/>
        <v>3486.76</v>
      </c>
      <c r="G30">
        <f t="shared" si="0"/>
        <v>0.32800000000042928</v>
      </c>
      <c r="H30">
        <f t="shared" si="4"/>
        <v>3486.4319999999998</v>
      </c>
      <c r="I30" s="5">
        <f t="shared" si="5"/>
        <v>0</v>
      </c>
      <c r="J30" s="7">
        <f t="shared" si="6"/>
        <v>978091.40800000005</v>
      </c>
      <c r="K30" s="5">
        <v>6</v>
      </c>
      <c r="L30" s="5">
        <v>38</v>
      </c>
      <c r="M30" s="5">
        <v>26.96</v>
      </c>
      <c r="N30" s="8">
        <v>106</v>
      </c>
      <c r="O30" s="8">
        <v>33</v>
      </c>
      <c r="P30" s="8">
        <v>47.39</v>
      </c>
      <c r="Q30" s="9">
        <f t="shared" si="1"/>
        <v>-6.640822222222222</v>
      </c>
      <c r="R30">
        <f t="shared" si="7"/>
        <v>106.56316388888888</v>
      </c>
      <c r="S30">
        <f t="shared" si="8"/>
        <v>-0.11590421281738432</v>
      </c>
      <c r="T30">
        <v>420</v>
      </c>
      <c r="U30">
        <f t="shared" si="2"/>
        <v>-13</v>
      </c>
      <c r="V30">
        <f t="shared" si="9"/>
        <v>433</v>
      </c>
      <c r="W30">
        <f t="shared" si="18"/>
        <v>0</v>
      </c>
      <c r="X30">
        <v>396.51900000000001</v>
      </c>
      <c r="Y30">
        <f t="shared" si="10"/>
        <v>0.52492729067563015</v>
      </c>
      <c r="Z30">
        <f t="shared" si="11"/>
        <v>978101.15508311556</v>
      </c>
      <c r="AA30">
        <f t="shared" si="12"/>
        <v>122.3261115</v>
      </c>
      <c r="AB30" s="7">
        <f t="shared" si="13"/>
        <v>112.57902838449215</v>
      </c>
      <c r="AC30">
        <f t="shared" si="14"/>
        <v>44.306834800499999</v>
      </c>
      <c r="AD30">
        <v>3</v>
      </c>
      <c r="AE30">
        <v>5</v>
      </c>
      <c r="AF30">
        <v>3</v>
      </c>
      <c r="AG30">
        <v>-2</v>
      </c>
      <c r="AH30">
        <f t="shared" si="15"/>
        <v>3.8655831353907356E-2</v>
      </c>
      <c r="AI30">
        <f t="shared" si="15"/>
        <v>7.7480378373566541E-2</v>
      </c>
      <c r="AJ30">
        <f t="shared" si="15"/>
        <v>3.8655831353907356E-2</v>
      </c>
      <c r="AK30">
        <f t="shared" si="15"/>
        <v>2.0384653162369731E-2</v>
      </c>
      <c r="AL30">
        <f t="shared" si="16"/>
        <v>0.17517669424375099</v>
      </c>
      <c r="AM30" s="7">
        <f t="shared" si="17"/>
        <v>67.92244298756026</v>
      </c>
    </row>
  </sheetData>
  <mergeCells count="29">
    <mergeCell ref="AM1:AM3"/>
    <mergeCell ref="K2:M2"/>
    <mergeCell ref="N2:P2"/>
    <mergeCell ref="Q2:Q3"/>
    <mergeCell ref="R2:R3"/>
    <mergeCell ref="AA1:AA3"/>
    <mergeCell ref="AB1:AB3"/>
    <mergeCell ref="AC1:AC3"/>
    <mergeCell ref="AD1:AG2"/>
    <mergeCell ref="AH1:AK2"/>
    <mergeCell ref="AL1:AL3"/>
    <mergeCell ref="T1:T2"/>
    <mergeCell ref="U1:U2"/>
    <mergeCell ref="V1:V2"/>
    <mergeCell ref="W1:W2"/>
    <mergeCell ref="Y1:Y3"/>
    <mergeCell ref="Z1:Z3"/>
    <mergeCell ref="G1:G2"/>
    <mergeCell ref="H1:H2"/>
    <mergeCell ref="I1:I3"/>
    <mergeCell ref="J1:J2"/>
    <mergeCell ref="K1:R1"/>
    <mergeCell ref="S1:S2"/>
    <mergeCell ref="F1:F2"/>
    <mergeCell ref="A1:A3"/>
    <mergeCell ref="B1:B3"/>
    <mergeCell ref="C1:C2"/>
    <mergeCell ref="D1:D3"/>
    <mergeCell ref="E1:E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"/>
  <sheetViews>
    <sheetView topLeftCell="U1" zoomScaleNormal="100" workbookViewId="0">
      <selection activeCell="Z4" sqref="Z4"/>
    </sheetView>
  </sheetViews>
  <sheetFormatPr defaultRowHeight="15" x14ac:dyDescent="0.25"/>
  <cols>
    <col min="10" max="10" width="18.42578125" bestFit="1" customWidth="1"/>
    <col min="11" max="12" width="10.28515625" customWidth="1"/>
    <col min="17" max="17" width="16.42578125" customWidth="1"/>
    <col min="18" max="18" width="16.28515625" bestFit="1" customWidth="1"/>
    <col min="19" max="19" width="15.85546875" customWidth="1"/>
    <col min="20" max="20" width="12.5703125" bestFit="1" customWidth="1"/>
    <col min="21" max="21" width="12.5703125" customWidth="1"/>
    <col min="22" max="23" width="9.85546875" customWidth="1"/>
    <col min="28" max="28" width="10.5703125" bestFit="1" customWidth="1"/>
  </cols>
  <sheetData>
    <row r="1" spans="1:39" x14ac:dyDescent="0.25">
      <c r="A1" s="22" t="s">
        <v>2</v>
      </c>
      <c r="B1" s="22" t="s">
        <v>0</v>
      </c>
      <c r="C1" s="20" t="s">
        <v>4</v>
      </c>
      <c r="D1" s="22" t="s">
        <v>6</v>
      </c>
      <c r="E1" s="20" t="s">
        <v>7</v>
      </c>
      <c r="F1" s="20" t="s">
        <v>9</v>
      </c>
      <c r="G1" s="20" t="s">
        <v>7</v>
      </c>
      <c r="H1" s="20" t="s">
        <v>12</v>
      </c>
      <c r="I1" s="22" t="s">
        <v>13</v>
      </c>
      <c r="J1" s="23" t="s">
        <v>14</v>
      </c>
      <c r="K1" s="26" t="s">
        <v>15</v>
      </c>
      <c r="L1" s="26"/>
      <c r="M1" s="26"/>
      <c r="N1" s="26"/>
      <c r="O1" s="26"/>
      <c r="P1" s="26"/>
      <c r="Q1" s="26"/>
      <c r="R1" s="26"/>
      <c r="S1" s="20" t="s">
        <v>21</v>
      </c>
      <c r="T1" s="20" t="s">
        <v>26</v>
      </c>
      <c r="U1" s="20" t="s">
        <v>12</v>
      </c>
      <c r="V1" s="20" t="s">
        <v>23</v>
      </c>
      <c r="W1" s="20" t="s">
        <v>25</v>
      </c>
      <c r="X1" s="14" t="b">
        <v>1</v>
      </c>
      <c r="Y1" s="22" t="s">
        <v>28</v>
      </c>
      <c r="Z1" s="22" t="s">
        <v>29</v>
      </c>
      <c r="AA1" s="22" t="s">
        <v>30</v>
      </c>
      <c r="AB1" s="22" t="s">
        <v>31</v>
      </c>
      <c r="AC1" s="22" t="s">
        <v>32</v>
      </c>
      <c r="AD1" s="22" t="s">
        <v>37</v>
      </c>
      <c r="AE1" s="22"/>
      <c r="AF1" s="22"/>
      <c r="AG1" s="22"/>
      <c r="AH1" s="22" t="s">
        <v>38</v>
      </c>
      <c r="AI1" s="22"/>
      <c r="AJ1" s="22"/>
      <c r="AK1" s="22"/>
      <c r="AL1" s="22" t="s">
        <v>39</v>
      </c>
      <c r="AM1" s="22" t="s">
        <v>40</v>
      </c>
    </row>
    <row r="2" spans="1:39" x14ac:dyDescent="0.25">
      <c r="A2" s="22"/>
      <c r="B2" s="22"/>
      <c r="C2" s="21"/>
      <c r="D2" s="22"/>
      <c r="E2" s="21"/>
      <c r="F2" s="21"/>
      <c r="G2" s="21"/>
      <c r="H2" s="21"/>
      <c r="I2" s="22"/>
      <c r="J2" s="24"/>
      <c r="K2" s="25" t="s">
        <v>16</v>
      </c>
      <c r="L2" s="25"/>
      <c r="M2" s="25"/>
      <c r="N2" s="25" t="s">
        <v>17</v>
      </c>
      <c r="O2" s="25"/>
      <c r="P2" s="25"/>
      <c r="Q2" s="25" t="s">
        <v>16</v>
      </c>
      <c r="R2" s="25" t="s">
        <v>17</v>
      </c>
      <c r="S2" s="21"/>
      <c r="T2" s="21"/>
      <c r="U2" s="21"/>
      <c r="V2" s="21"/>
      <c r="W2" s="21"/>
      <c r="X2" s="15" t="s">
        <v>23</v>
      </c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</row>
    <row r="3" spans="1:39" x14ac:dyDescent="0.25">
      <c r="A3" s="22"/>
      <c r="B3" s="22"/>
      <c r="C3" s="11" t="s">
        <v>5</v>
      </c>
      <c r="D3" s="22"/>
      <c r="E3" s="11" t="s">
        <v>8</v>
      </c>
      <c r="F3" s="12" t="s">
        <v>11</v>
      </c>
      <c r="G3" s="11" t="s">
        <v>12</v>
      </c>
      <c r="H3" s="11" t="s">
        <v>10</v>
      </c>
      <c r="I3" s="22"/>
      <c r="J3" s="13">
        <v>978091.40800000005</v>
      </c>
      <c r="K3" s="10" t="s">
        <v>18</v>
      </c>
      <c r="L3" s="10" t="s">
        <v>19</v>
      </c>
      <c r="M3" s="10" t="s">
        <v>20</v>
      </c>
      <c r="N3" s="10" t="s">
        <v>18</v>
      </c>
      <c r="O3" s="10" t="s">
        <v>19</v>
      </c>
      <c r="P3" s="10" t="s">
        <v>20</v>
      </c>
      <c r="Q3" s="25"/>
      <c r="R3" s="25"/>
      <c r="S3" s="11" t="s">
        <v>22</v>
      </c>
      <c r="T3" s="11" t="s">
        <v>27</v>
      </c>
      <c r="U3" s="11" t="s">
        <v>23</v>
      </c>
      <c r="V3" s="11" t="s">
        <v>11</v>
      </c>
      <c r="W3" s="11" t="s">
        <v>23</v>
      </c>
      <c r="X3" s="11" t="s">
        <v>24</v>
      </c>
      <c r="Y3" s="22"/>
      <c r="Z3" s="22"/>
      <c r="AA3" s="22"/>
      <c r="AB3" s="22"/>
      <c r="AC3" s="22"/>
      <c r="AD3" s="10" t="s">
        <v>33</v>
      </c>
      <c r="AE3" s="10" t="s">
        <v>34</v>
      </c>
      <c r="AF3" s="10" t="s">
        <v>35</v>
      </c>
      <c r="AG3" s="10" t="s">
        <v>36</v>
      </c>
      <c r="AH3" s="10" t="s">
        <v>33</v>
      </c>
      <c r="AI3" s="10" t="s">
        <v>34</v>
      </c>
      <c r="AJ3" s="10" t="s">
        <v>35</v>
      </c>
      <c r="AK3" s="10" t="s">
        <v>36</v>
      </c>
      <c r="AL3" s="22"/>
      <c r="AM3" s="22"/>
    </row>
    <row r="4" spans="1:39" x14ac:dyDescent="0.25">
      <c r="B4" s="1" t="s">
        <v>3</v>
      </c>
      <c r="C4" s="17">
        <f>(8*60)+12</f>
        <v>492</v>
      </c>
      <c r="D4">
        <v>3487.9589999999998</v>
      </c>
      <c r="E4">
        <v>0</v>
      </c>
      <c r="F4">
        <f>D4+E4</f>
        <v>3487.9589999999998</v>
      </c>
      <c r="G4">
        <f t="shared" ref="G4:G31" si="0">(($F$31-$F$4)/($C$31-$C$4))*(C4-$C$4)</f>
        <v>0</v>
      </c>
      <c r="H4">
        <f>F4-G4</f>
        <v>3487.9589999999998</v>
      </c>
      <c r="I4" s="5">
        <f>H4-$H$4</f>
        <v>0</v>
      </c>
      <c r="J4" s="7">
        <f>I4+$J$3</f>
        <v>978091.40800000005</v>
      </c>
      <c r="K4" s="5">
        <v>6</v>
      </c>
      <c r="L4" s="5">
        <v>38</v>
      </c>
      <c r="M4" s="5">
        <v>26.72</v>
      </c>
      <c r="N4" s="8">
        <v>106</v>
      </c>
      <c r="O4" s="8">
        <v>33</v>
      </c>
      <c r="P4" s="8">
        <v>47.25</v>
      </c>
      <c r="Q4" s="9">
        <f t="shared" ref="Q4:Q31" si="1">-(K4+(L4/60)+(M4/3600))</f>
        <v>-6.6407555555555549</v>
      </c>
      <c r="R4">
        <f>(N4+(O4/60)+(P4/3600))</f>
        <v>106.563125</v>
      </c>
      <c r="S4">
        <f>RADIANS(Q4)</f>
        <v>-0.11590304926454965</v>
      </c>
      <c r="T4">
        <v>396</v>
      </c>
      <c r="U4">
        <f t="shared" ref="U4:U31" si="2">(T$31-T$4)*(C4-C$4)/(C$31-C$4)</f>
        <v>0</v>
      </c>
      <c r="V4">
        <f>T4-U4</f>
        <v>396</v>
      </c>
      <c r="W4">
        <f>V4-V$4</f>
        <v>0</v>
      </c>
      <c r="X4">
        <v>396.51900000000001</v>
      </c>
      <c r="Y4">
        <f>(0.0004462*X4/0.3048)-(0.00000003282*(X4^2)/(0.3048^2))+(0.00000000000000127*(X4^3)/(0.3048^3))</f>
        <v>0.52492729067563015</v>
      </c>
      <c r="Z4">
        <f>978031.8*(1+0.0053024*(SIN(S4))^2)+0.0000058*(SIN(2*S4))^2</f>
        <v>978101.15369686356</v>
      </c>
      <c r="AA4">
        <f>0.3085*X4</f>
        <v>122.3261115</v>
      </c>
      <c r="AB4" s="7">
        <f>J4-Z4+AA4</f>
        <v>112.58041463649121</v>
      </c>
      <c r="AC4">
        <f>0.04185*2.67*X4</f>
        <v>44.306834800499999</v>
      </c>
      <c r="AD4" s="18">
        <v>3</v>
      </c>
      <c r="AE4" s="18">
        <v>5</v>
      </c>
      <c r="AF4" s="18">
        <v>3</v>
      </c>
      <c r="AG4" s="18">
        <v>-2</v>
      </c>
      <c r="AH4">
        <f>0.04191*(2.67/4)*((20-2)+SQRT((2^2+AD4^2))-SQRT((20^2+AD4^2)))</f>
        <v>3.8655831353907356E-2</v>
      </c>
      <c r="AI4">
        <f>0.04191*(2.67/4)*((20-2)+SQRT((2^2+AE4^2))-SQRT((20^2+AE4^2)))</f>
        <v>7.7480378373566541E-2</v>
      </c>
      <c r="AJ4">
        <f>0.04191*(2.67/4)*((20-2)+SQRT((2^2+AF4^2))-SQRT((20^2+AF4^2)))</f>
        <v>3.8655831353907356E-2</v>
      </c>
      <c r="AK4">
        <f>0.04191*(2.67/4)*((20-2)+SQRT((2^2+AG4^2))-SQRT((20^2+AG4^2)))</f>
        <v>2.0384653162369731E-2</v>
      </c>
      <c r="AL4">
        <f>SUM(AH4:AK4)</f>
        <v>0.17517669424375099</v>
      </c>
      <c r="AM4" s="7">
        <f>AB4-AC4+AL4-Y4</f>
        <v>67.923829239559325</v>
      </c>
    </row>
    <row r="5" spans="1:39" x14ac:dyDescent="0.25">
      <c r="B5" s="1">
        <v>1</v>
      </c>
      <c r="C5">
        <f>(8*60)+37</f>
        <v>517</v>
      </c>
      <c r="D5">
        <v>3488.1590000000001</v>
      </c>
      <c r="E5">
        <v>0</v>
      </c>
      <c r="F5">
        <f t="shared" ref="F5:F31" si="3">D5+E5</f>
        <v>3488.1590000000001</v>
      </c>
      <c r="G5">
        <f t="shared" si="0"/>
        <v>2.2279792746117289E-2</v>
      </c>
      <c r="H5">
        <f t="shared" ref="H5:H31" si="4">F5-G5</f>
        <v>3488.1367202072538</v>
      </c>
      <c r="I5" s="5">
        <f t="shared" ref="I5:I31" si="5">H5-$H$4</f>
        <v>0.17772020725396942</v>
      </c>
      <c r="J5" s="7">
        <f t="shared" ref="J5:J31" si="6">I5+$J$3</f>
        <v>978091.58572020731</v>
      </c>
      <c r="K5" s="5">
        <v>6</v>
      </c>
      <c r="L5" s="5">
        <v>38</v>
      </c>
      <c r="M5" s="5">
        <v>11.55</v>
      </c>
      <c r="N5" s="8">
        <v>106</v>
      </c>
      <c r="O5" s="8">
        <v>33</v>
      </c>
      <c r="P5" s="8">
        <v>45.22</v>
      </c>
      <c r="Q5" s="9">
        <f t="shared" si="1"/>
        <v>-6.6365416666666661</v>
      </c>
      <c r="R5">
        <f t="shared" ref="R5:R31" si="7">(N5+(O5/60)+(P5/3600))</f>
        <v>106.56256111111111</v>
      </c>
      <c r="S5">
        <f t="shared" ref="S5:S31" si="8">RADIANS(Q5)</f>
        <v>-0.11582950302912534</v>
      </c>
      <c r="T5">
        <v>411</v>
      </c>
      <c r="U5">
        <f t="shared" si="2"/>
        <v>2.1373056994818653</v>
      </c>
      <c r="V5">
        <f t="shared" ref="V5:V31" si="9">T5-U5</f>
        <v>408.86269430051811</v>
      </c>
      <c r="W5">
        <f>V5-V$4</f>
        <v>12.862694300518115</v>
      </c>
      <c r="X5">
        <f>X$4+W5</f>
        <v>409.38169430051812</v>
      </c>
      <c r="Y5">
        <f t="shared" ref="Y5:Y31" si="10">(0.0004462*X5/0.3048)-(0.00000003282*(X5^2)/(0.3048^2))+(0.00000000000000127*(X5^3)/(0.3048^3))</f>
        <v>0.54009537635567528</v>
      </c>
      <c r="Z5">
        <f t="shared" ref="Z5:Z31" si="11">978031.8*(1+0.0053024*(SIN(S5))^2)+0.0000058*(SIN(2*S5))^2</f>
        <v>978101.06610191904</v>
      </c>
      <c r="AA5">
        <f t="shared" ref="AA5:AA31" si="12">0.3085*X5</f>
        <v>126.29425269170984</v>
      </c>
      <c r="AB5" s="7">
        <f t="shared" ref="AB5:AB31" si="13">J5-Z5+AA5</f>
        <v>116.81387097997445</v>
      </c>
      <c r="AC5">
        <f t="shared" ref="AC5:AC31" si="14">0.04185*2.67*X5</f>
        <v>45.744105830292739</v>
      </c>
      <c r="AD5" s="1">
        <v>-2</v>
      </c>
      <c r="AE5" s="1">
        <v>-3</v>
      </c>
      <c r="AF5" s="1">
        <v>-3</v>
      </c>
      <c r="AG5" s="1">
        <v>2</v>
      </c>
      <c r="AH5">
        <f t="shared" ref="AH5:AK31" si="15">0.04191*(2.67/4)*((20-2)+SQRT((2^2+AD5^2))-SQRT((20^2+AD5^2)))</f>
        <v>2.0384653162369731E-2</v>
      </c>
      <c r="AI5">
        <f t="shared" si="15"/>
        <v>3.8655831353907356E-2</v>
      </c>
      <c r="AJ5">
        <f t="shared" si="15"/>
        <v>3.8655831353907356E-2</v>
      </c>
      <c r="AK5">
        <f t="shared" si="15"/>
        <v>2.0384653162369731E-2</v>
      </c>
      <c r="AL5">
        <f t="shared" ref="AL5:AL31" si="16">SUM(AH5:AK5)</f>
        <v>0.11808096903255418</v>
      </c>
      <c r="AM5" s="7">
        <f>AB5-AC5+AL5-Y5</f>
        <v>70.647750742358582</v>
      </c>
    </row>
    <row r="6" spans="1:39" x14ac:dyDescent="0.25">
      <c r="B6" s="1">
        <v>2</v>
      </c>
      <c r="C6">
        <f>(8*60)+41</f>
        <v>521</v>
      </c>
      <c r="D6">
        <v>3488.4160000000002</v>
      </c>
      <c r="E6">
        <v>0</v>
      </c>
      <c r="F6">
        <f t="shared" si="3"/>
        <v>3488.4160000000002</v>
      </c>
      <c r="G6">
        <f t="shared" si="0"/>
        <v>2.5844559585496054E-2</v>
      </c>
      <c r="H6">
        <f t="shared" si="4"/>
        <v>3488.3901554404147</v>
      </c>
      <c r="I6" s="5">
        <f t="shared" si="5"/>
        <v>0.431155440414841</v>
      </c>
      <c r="J6" s="7">
        <f t="shared" si="6"/>
        <v>978091.83915544045</v>
      </c>
      <c r="K6" s="5">
        <v>6</v>
      </c>
      <c r="L6" s="5">
        <v>38</v>
      </c>
      <c r="M6" s="5">
        <v>9.93</v>
      </c>
      <c r="N6" s="8">
        <v>106</v>
      </c>
      <c r="O6" s="8">
        <v>33</v>
      </c>
      <c r="P6" s="8">
        <v>44.73</v>
      </c>
      <c r="Q6" s="9">
        <f t="shared" si="1"/>
        <v>-6.6360916666666663</v>
      </c>
      <c r="R6">
        <f t="shared" si="7"/>
        <v>106.56242499999999</v>
      </c>
      <c r="S6">
        <f t="shared" si="8"/>
        <v>-0.11582164904749136</v>
      </c>
      <c r="T6">
        <v>411</v>
      </c>
      <c r="U6">
        <f t="shared" si="2"/>
        <v>2.4792746113989637</v>
      </c>
      <c r="V6">
        <f t="shared" si="9"/>
        <v>408.52072538860102</v>
      </c>
      <c r="W6">
        <f>V6-V$4</f>
        <v>12.520725388601022</v>
      </c>
      <c r="X6">
        <f>X$4+W6</f>
        <v>409.03972538860103</v>
      </c>
      <c r="Y6">
        <f t="shared" si="10"/>
        <v>0.53969362844076796</v>
      </c>
      <c r="Z6">
        <f t="shared" si="11"/>
        <v>978101.05675090663</v>
      </c>
      <c r="AA6">
        <f t="shared" si="12"/>
        <v>126.18875528238341</v>
      </c>
      <c r="AB6" s="7">
        <f t="shared" si="13"/>
        <v>116.97115981620364</v>
      </c>
      <c r="AC6">
        <f t="shared" si="14"/>
        <v>45.70589439505958</v>
      </c>
      <c r="AD6" s="1">
        <v>-2</v>
      </c>
      <c r="AE6" s="1">
        <v>3</v>
      </c>
      <c r="AF6" s="1">
        <v>2</v>
      </c>
      <c r="AG6" s="1">
        <v>-1</v>
      </c>
      <c r="AH6">
        <f t="shared" si="15"/>
        <v>2.0384653162369731E-2</v>
      </c>
      <c r="AI6">
        <f t="shared" si="15"/>
        <v>3.8655831353907356E-2</v>
      </c>
      <c r="AJ6">
        <f t="shared" si="15"/>
        <v>2.0384653162369731E-2</v>
      </c>
      <c r="AK6">
        <f t="shared" si="15"/>
        <v>5.905047403128365E-3</v>
      </c>
      <c r="AL6">
        <f t="shared" si="16"/>
        <v>8.5330185081775173E-2</v>
      </c>
      <c r="AM6" s="7">
        <f t="shared" ref="AM6:AM31" si="17">AB6-AC6+AL6-Y6</f>
        <v>70.810901977785051</v>
      </c>
    </row>
    <row r="7" spans="1:39" x14ac:dyDescent="0.25">
      <c r="B7" s="1">
        <v>3</v>
      </c>
      <c r="C7">
        <f>(8*60)+47</f>
        <v>527</v>
      </c>
      <c r="D7">
        <v>3489.107</v>
      </c>
      <c r="E7">
        <v>0</v>
      </c>
      <c r="F7">
        <f t="shared" si="3"/>
        <v>3489.107</v>
      </c>
      <c r="G7">
        <f t="shared" si="0"/>
        <v>3.1191709844564205E-2</v>
      </c>
      <c r="H7">
        <f t="shared" si="4"/>
        <v>3489.0758082901552</v>
      </c>
      <c r="I7" s="5">
        <f t="shared" si="5"/>
        <v>1.1168082901554044</v>
      </c>
      <c r="J7" s="7">
        <f t="shared" si="6"/>
        <v>978092.52480829018</v>
      </c>
      <c r="K7" s="5">
        <v>6</v>
      </c>
      <c r="L7" s="5">
        <v>38</v>
      </c>
      <c r="M7" s="5">
        <v>8.34</v>
      </c>
      <c r="N7" s="8">
        <v>106</v>
      </c>
      <c r="O7" s="8">
        <v>33</v>
      </c>
      <c r="P7" s="8">
        <v>43.74</v>
      </c>
      <c r="Q7" s="9">
        <f t="shared" si="1"/>
        <v>-6.6356499999999992</v>
      </c>
      <c r="R7">
        <f t="shared" si="7"/>
        <v>106.56215</v>
      </c>
      <c r="S7">
        <f t="shared" si="8"/>
        <v>-0.11581394050996172</v>
      </c>
      <c r="T7">
        <v>410</v>
      </c>
      <c r="U7">
        <f t="shared" si="2"/>
        <v>2.9922279792746114</v>
      </c>
      <c r="V7">
        <f t="shared" si="9"/>
        <v>407.00777202072538</v>
      </c>
      <c r="W7">
        <f t="shared" ref="W7:W31" si="18">V7-V$4</f>
        <v>11.007772020725383</v>
      </c>
      <c r="X7">
        <f t="shared" ref="X7:X30" si="19">X$4+W7</f>
        <v>407.52677202072539</v>
      </c>
      <c r="Y7">
        <f t="shared" si="10"/>
        <v>0.53791520700098605</v>
      </c>
      <c r="Z7">
        <f t="shared" si="11"/>
        <v>978101.04757366667</v>
      </c>
      <c r="AA7">
        <f t="shared" si="12"/>
        <v>125.72200916839378</v>
      </c>
      <c r="AB7" s="7">
        <f t="shared" si="13"/>
        <v>117.1992437919051</v>
      </c>
      <c r="AC7">
        <f t="shared" si="14"/>
        <v>45.53683774220984</v>
      </c>
      <c r="AD7" s="1">
        <v>-3</v>
      </c>
      <c r="AE7" s="1">
        <v>3</v>
      </c>
      <c r="AF7" s="1">
        <v>4</v>
      </c>
      <c r="AG7" s="1">
        <v>-2</v>
      </c>
      <c r="AH7">
        <f t="shared" si="15"/>
        <v>3.8655831353907356E-2</v>
      </c>
      <c r="AI7">
        <f t="shared" si="15"/>
        <v>3.8655831353907356E-2</v>
      </c>
      <c r="AJ7">
        <f t="shared" si="15"/>
        <v>5.8077564065738108E-2</v>
      </c>
      <c r="AK7">
        <f t="shared" si="15"/>
        <v>2.0384653162369731E-2</v>
      </c>
      <c r="AL7">
        <f t="shared" si="16"/>
        <v>0.15577387993592254</v>
      </c>
      <c r="AM7" s="7">
        <f t="shared" si="17"/>
        <v>71.280264722630193</v>
      </c>
    </row>
    <row r="8" spans="1:39" x14ac:dyDescent="0.25">
      <c r="B8" s="1">
        <v>4</v>
      </c>
      <c r="C8">
        <f>(8*60)+53</f>
        <v>533</v>
      </c>
      <c r="D8">
        <v>3489.5810000000001</v>
      </c>
      <c r="E8">
        <v>0</v>
      </c>
      <c r="F8">
        <f t="shared" si="3"/>
        <v>3489.5810000000001</v>
      </c>
      <c r="G8">
        <f t="shared" si="0"/>
        <v>3.6538860103632352E-2</v>
      </c>
      <c r="H8">
        <f t="shared" si="4"/>
        <v>3489.5444611398966</v>
      </c>
      <c r="I8" s="5">
        <f t="shared" si="5"/>
        <v>1.5854611398967791</v>
      </c>
      <c r="J8" s="7">
        <f t="shared" si="6"/>
        <v>978092.99346113997</v>
      </c>
      <c r="K8" s="5">
        <v>6</v>
      </c>
      <c r="L8" s="5">
        <v>38</v>
      </c>
      <c r="M8" s="5">
        <v>7.13</v>
      </c>
      <c r="N8" s="8">
        <v>106</v>
      </c>
      <c r="O8" s="8">
        <v>33</v>
      </c>
      <c r="P8" s="8">
        <v>42.83</v>
      </c>
      <c r="Q8" s="9">
        <f t="shared" si="1"/>
        <v>-6.6353138888888887</v>
      </c>
      <c r="R8">
        <f t="shared" si="7"/>
        <v>106.56189722222221</v>
      </c>
      <c r="S8">
        <f t="shared" si="8"/>
        <v>-0.1158080742644203</v>
      </c>
      <c r="T8">
        <v>409</v>
      </c>
      <c r="U8">
        <f t="shared" si="2"/>
        <v>3.5051813471502591</v>
      </c>
      <c r="V8">
        <f t="shared" si="9"/>
        <v>405.49481865284974</v>
      </c>
      <c r="W8">
        <f t="shared" si="18"/>
        <v>9.4948186528497445</v>
      </c>
      <c r="X8">
        <f t="shared" si="19"/>
        <v>406.01381865284975</v>
      </c>
      <c r="Y8">
        <f t="shared" si="10"/>
        <v>0.53613516851541199</v>
      </c>
      <c r="Z8">
        <f t="shared" si="11"/>
        <v>978101.04059013107</v>
      </c>
      <c r="AA8">
        <f t="shared" si="12"/>
        <v>125.25526305440415</v>
      </c>
      <c r="AB8" s="7">
        <f t="shared" si="13"/>
        <v>117.2081340632967</v>
      </c>
      <c r="AC8">
        <f t="shared" si="14"/>
        <v>45.367781089360101</v>
      </c>
      <c r="AD8" s="1">
        <v>-3</v>
      </c>
      <c r="AE8" s="1">
        <v>2</v>
      </c>
      <c r="AF8" s="1">
        <v>2</v>
      </c>
      <c r="AG8" s="1">
        <v>-1</v>
      </c>
      <c r="AH8">
        <f t="shared" si="15"/>
        <v>3.8655831353907356E-2</v>
      </c>
      <c r="AI8">
        <f t="shared" si="15"/>
        <v>2.0384653162369731E-2</v>
      </c>
      <c r="AJ8">
        <f t="shared" si="15"/>
        <v>2.0384653162369731E-2</v>
      </c>
      <c r="AK8">
        <f t="shared" si="15"/>
        <v>5.905047403128365E-3</v>
      </c>
      <c r="AL8">
        <f t="shared" si="16"/>
        <v>8.5330185081775173E-2</v>
      </c>
      <c r="AM8" s="7">
        <f t="shared" si="17"/>
        <v>71.389547990502962</v>
      </c>
    </row>
    <row r="9" spans="1:39" x14ac:dyDescent="0.25">
      <c r="B9" s="1">
        <v>5</v>
      </c>
      <c r="C9">
        <f>(9*60)+29</f>
        <v>569</v>
      </c>
      <c r="D9">
        <v>3489.828</v>
      </c>
      <c r="E9">
        <v>0</v>
      </c>
      <c r="F9">
        <f t="shared" si="3"/>
        <v>3489.828</v>
      </c>
      <c r="G9">
        <f t="shared" si="0"/>
        <v>6.862176165804125E-2</v>
      </c>
      <c r="H9">
        <f t="shared" si="4"/>
        <v>3489.7593782383419</v>
      </c>
      <c r="I9" s="5">
        <f t="shared" si="5"/>
        <v>1.8003782383420912</v>
      </c>
      <c r="J9" s="7">
        <f t="shared" si="6"/>
        <v>978093.20837823837</v>
      </c>
      <c r="K9" s="5">
        <v>6</v>
      </c>
      <c r="L9" s="5">
        <v>38</v>
      </c>
      <c r="M9" s="5">
        <v>6.38</v>
      </c>
      <c r="N9" s="8">
        <v>106</v>
      </c>
      <c r="O9" s="8">
        <v>33</v>
      </c>
      <c r="P9" s="8">
        <v>42.12</v>
      </c>
      <c r="Q9" s="9">
        <f t="shared" si="1"/>
        <v>-6.6351055555555547</v>
      </c>
      <c r="R9">
        <f t="shared" si="7"/>
        <v>106.5617</v>
      </c>
      <c r="S9">
        <f t="shared" si="8"/>
        <v>-0.11580443816181196</v>
      </c>
      <c r="T9">
        <v>409</v>
      </c>
      <c r="U9">
        <f t="shared" si="2"/>
        <v>6.5829015544041454</v>
      </c>
      <c r="V9">
        <f t="shared" si="9"/>
        <v>402.41709844559585</v>
      </c>
      <c r="W9">
        <f t="shared" si="18"/>
        <v>6.4170984455958546</v>
      </c>
      <c r="X9">
        <f t="shared" si="19"/>
        <v>402.93609844559586</v>
      </c>
      <c r="Y9">
        <f t="shared" si="10"/>
        <v>0.53250914078695122</v>
      </c>
      <c r="Z9">
        <f t="shared" si="11"/>
        <v>978101.03626166785</v>
      </c>
      <c r="AA9">
        <f t="shared" si="12"/>
        <v>124.30578637046632</v>
      </c>
      <c r="AB9" s="7">
        <f t="shared" si="13"/>
        <v>116.47790294099026</v>
      </c>
      <c r="AC9">
        <f t="shared" si="14"/>
        <v>45.023878172261654</v>
      </c>
      <c r="AD9" s="1">
        <v>4</v>
      </c>
      <c r="AE9" s="1">
        <v>-2</v>
      </c>
      <c r="AF9" s="1">
        <v>-2</v>
      </c>
      <c r="AG9" s="1">
        <v>3</v>
      </c>
      <c r="AH9">
        <f t="shared" si="15"/>
        <v>5.8077564065738108E-2</v>
      </c>
      <c r="AI9">
        <f t="shared" si="15"/>
        <v>2.0384653162369731E-2</v>
      </c>
      <c r="AJ9">
        <f t="shared" si="15"/>
        <v>2.0384653162369731E-2</v>
      </c>
      <c r="AK9">
        <f t="shared" si="15"/>
        <v>3.8655831353907356E-2</v>
      </c>
      <c r="AL9">
        <f t="shared" si="16"/>
        <v>0.13750270174438492</v>
      </c>
      <c r="AM9" s="7">
        <f t="shared" si="17"/>
        <v>71.059018329686026</v>
      </c>
    </row>
    <row r="10" spans="1:39" x14ac:dyDescent="0.25">
      <c r="B10" s="1">
        <v>6</v>
      </c>
      <c r="C10">
        <f>(9*60)+34</f>
        <v>574</v>
      </c>
      <c r="D10">
        <v>3488.96</v>
      </c>
      <c r="E10">
        <v>0</v>
      </c>
      <c r="F10">
        <f t="shared" si="3"/>
        <v>3488.96</v>
      </c>
      <c r="G10">
        <f t="shared" si="0"/>
        <v>7.3077720207264704E-2</v>
      </c>
      <c r="H10">
        <f t="shared" si="4"/>
        <v>3488.886922279793</v>
      </c>
      <c r="I10" s="5">
        <f t="shared" si="5"/>
        <v>0.92792227979316522</v>
      </c>
      <c r="J10" s="7">
        <f t="shared" si="6"/>
        <v>978092.33592227986</v>
      </c>
      <c r="K10" s="5">
        <v>6</v>
      </c>
      <c r="L10" s="5">
        <v>38</v>
      </c>
      <c r="M10" s="5">
        <v>5.0999999999999996</v>
      </c>
      <c r="N10" s="8">
        <v>106</v>
      </c>
      <c r="O10" s="8">
        <v>33</v>
      </c>
      <c r="P10" s="8">
        <v>41.95</v>
      </c>
      <c r="Q10" s="9">
        <f t="shared" si="1"/>
        <v>-6.6347499999999995</v>
      </c>
      <c r="R10">
        <f t="shared" si="7"/>
        <v>106.56165277777778</v>
      </c>
      <c r="S10">
        <f t="shared" si="8"/>
        <v>-0.11579823254669377</v>
      </c>
      <c r="T10">
        <v>414</v>
      </c>
      <c r="U10">
        <f t="shared" si="2"/>
        <v>7.0103626943005182</v>
      </c>
      <c r="V10">
        <f t="shared" si="9"/>
        <v>406.98963730569949</v>
      </c>
      <c r="W10">
        <f t="shared" si="18"/>
        <v>10.989637305699489</v>
      </c>
      <c r="X10">
        <f t="shared" si="19"/>
        <v>407.50863730569949</v>
      </c>
      <c r="Y10">
        <f t="shared" si="10"/>
        <v>0.53789388049828735</v>
      </c>
      <c r="Z10">
        <f t="shared" si="11"/>
        <v>978101.0288747322</v>
      </c>
      <c r="AA10">
        <f t="shared" si="12"/>
        <v>125.71641460880829</v>
      </c>
      <c r="AB10" s="7">
        <f t="shared" si="13"/>
        <v>117.0234621564644</v>
      </c>
      <c r="AC10">
        <f t="shared" si="14"/>
        <v>45.534811378220205</v>
      </c>
      <c r="AD10" s="1">
        <v>2</v>
      </c>
      <c r="AE10" s="1">
        <v>-1</v>
      </c>
      <c r="AF10" s="1">
        <v>-2</v>
      </c>
      <c r="AG10" s="1">
        <v>-3</v>
      </c>
      <c r="AH10">
        <f t="shared" si="15"/>
        <v>2.0384653162369731E-2</v>
      </c>
      <c r="AI10">
        <f t="shared" si="15"/>
        <v>5.905047403128365E-3</v>
      </c>
      <c r="AJ10">
        <f t="shared" si="15"/>
        <v>2.0384653162369731E-2</v>
      </c>
      <c r="AK10">
        <f t="shared" si="15"/>
        <v>3.8655831353907356E-2</v>
      </c>
      <c r="AL10">
        <f t="shared" si="16"/>
        <v>8.5330185081775173E-2</v>
      </c>
      <c r="AM10" s="7">
        <f t="shared" si="17"/>
        <v>71.036087082827677</v>
      </c>
    </row>
    <row r="11" spans="1:39" x14ac:dyDescent="0.25">
      <c r="B11" s="1">
        <v>7</v>
      </c>
      <c r="C11">
        <f>(9*60)+39</f>
        <v>579</v>
      </c>
      <c r="D11">
        <v>3489.0990000000002</v>
      </c>
      <c r="E11">
        <v>0</v>
      </c>
      <c r="F11">
        <f t="shared" si="3"/>
        <v>3489.0990000000002</v>
      </c>
      <c r="G11">
        <f t="shared" si="0"/>
        <v>7.7533678756488159E-2</v>
      </c>
      <c r="H11">
        <f t="shared" si="4"/>
        <v>3489.0214663212437</v>
      </c>
      <c r="I11" s="5">
        <f t="shared" si="5"/>
        <v>1.0624663212438463</v>
      </c>
      <c r="J11" s="7">
        <f t="shared" si="6"/>
        <v>978092.47046632133</v>
      </c>
      <c r="K11" s="5">
        <v>6</v>
      </c>
      <c r="L11" s="5">
        <v>38</v>
      </c>
      <c r="M11" s="5">
        <v>2.29</v>
      </c>
      <c r="N11" s="8">
        <v>106</v>
      </c>
      <c r="O11" s="8">
        <v>33</v>
      </c>
      <c r="P11" s="8">
        <v>40.74</v>
      </c>
      <c r="Q11" s="9">
        <f t="shared" si="1"/>
        <v>-6.6339694444444444</v>
      </c>
      <c r="R11">
        <f t="shared" si="7"/>
        <v>106.56131666666667</v>
      </c>
      <c r="S11">
        <f t="shared" si="8"/>
        <v>-0.11578460928225461</v>
      </c>
      <c r="T11">
        <v>415</v>
      </c>
      <c r="U11">
        <f t="shared" si="2"/>
        <v>7.437823834196891</v>
      </c>
      <c r="V11">
        <f t="shared" si="9"/>
        <v>407.56217616580312</v>
      </c>
      <c r="W11">
        <f t="shared" si="18"/>
        <v>11.562176165803123</v>
      </c>
      <c r="X11">
        <f t="shared" si="19"/>
        <v>408.08117616580313</v>
      </c>
      <c r="Y11">
        <f t="shared" si="10"/>
        <v>0.53856707653761438</v>
      </c>
      <c r="Z11">
        <f t="shared" si="11"/>
        <v>978101.01265946322</v>
      </c>
      <c r="AA11">
        <f t="shared" si="12"/>
        <v>125.89304284715027</v>
      </c>
      <c r="AB11" s="7">
        <f t="shared" si="13"/>
        <v>117.35084970526796</v>
      </c>
      <c r="AC11">
        <f t="shared" si="14"/>
        <v>45.598786584178754</v>
      </c>
      <c r="AD11" s="1">
        <v>2</v>
      </c>
      <c r="AE11" s="1">
        <v>1</v>
      </c>
      <c r="AF11" s="1">
        <v>-2</v>
      </c>
      <c r="AG11" s="1">
        <v>-2</v>
      </c>
      <c r="AH11">
        <f t="shared" si="15"/>
        <v>2.0384653162369731E-2</v>
      </c>
      <c r="AI11">
        <f t="shared" si="15"/>
        <v>5.905047403128365E-3</v>
      </c>
      <c r="AJ11">
        <f t="shared" si="15"/>
        <v>2.0384653162369731E-2</v>
      </c>
      <c r="AK11">
        <f t="shared" si="15"/>
        <v>2.0384653162369731E-2</v>
      </c>
      <c r="AL11">
        <f t="shared" si="16"/>
        <v>6.7059006890237555E-2</v>
      </c>
      <c r="AM11" s="7">
        <f t="shared" si="17"/>
        <v>71.280555051441823</v>
      </c>
    </row>
    <row r="12" spans="1:39" x14ac:dyDescent="0.25">
      <c r="B12" s="1">
        <v>8</v>
      </c>
      <c r="C12">
        <f>(9*60)+54</f>
        <v>594</v>
      </c>
      <c r="D12">
        <v>3489.0639999999999</v>
      </c>
      <c r="E12">
        <v>0</v>
      </c>
      <c r="F12">
        <f t="shared" si="3"/>
        <v>3489.0639999999999</v>
      </c>
      <c r="G12">
        <f t="shared" si="0"/>
        <v>9.0901554404158535E-2</v>
      </c>
      <c r="H12">
        <f t="shared" si="4"/>
        <v>3488.9730984455955</v>
      </c>
      <c r="I12" s="5">
        <f t="shared" si="5"/>
        <v>1.0140984455956641</v>
      </c>
      <c r="J12" s="7">
        <f t="shared" si="6"/>
        <v>978092.42209844571</v>
      </c>
      <c r="K12" s="5">
        <v>6</v>
      </c>
      <c r="L12" s="5">
        <v>38</v>
      </c>
      <c r="M12" s="5">
        <v>0.64</v>
      </c>
      <c r="N12" s="8">
        <v>106</v>
      </c>
      <c r="O12" s="8">
        <v>33</v>
      </c>
      <c r="P12" s="8">
        <v>40.11</v>
      </c>
      <c r="Q12" s="9">
        <f t="shared" si="1"/>
        <v>-6.6335111111111109</v>
      </c>
      <c r="R12">
        <f t="shared" si="7"/>
        <v>106.56114166666666</v>
      </c>
      <c r="S12">
        <f t="shared" si="8"/>
        <v>-0.11577660985651629</v>
      </c>
      <c r="T12">
        <v>415</v>
      </c>
      <c r="U12">
        <f t="shared" si="2"/>
        <v>8.7202072538860111</v>
      </c>
      <c r="V12">
        <f t="shared" si="9"/>
        <v>406.27979274611397</v>
      </c>
      <c r="W12">
        <f t="shared" si="18"/>
        <v>10.279792746113969</v>
      </c>
      <c r="X12">
        <f t="shared" si="19"/>
        <v>406.79879274611397</v>
      </c>
      <c r="Y12">
        <f t="shared" si="10"/>
        <v>0.53705891772429226</v>
      </c>
      <c r="Z12">
        <f t="shared" si="11"/>
        <v>978101.00313891529</v>
      </c>
      <c r="AA12">
        <f t="shared" si="12"/>
        <v>125.49742756217616</v>
      </c>
      <c r="AB12" s="7">
        <f t="shared" si="13"/>
        <v>116.91638709259583</v>
      </c>
      <c r="AC12">
        <f t="shared" si="14"/>
        <v>45.455493702054397</v>
      </c>
      <c r="AD12" s="1">
        <v>2</v>
      </c>
      <c r="AE12" s="1">
        <v>1</v>
      </c>
      <c r="AF12" s="1">
        <v>-1</v>
      </c>
      <c r="AG12" s="1">
        <v>-2</v>
      </c>
      <c r="AH12">
        <f t="shared" si="15"/>
        <v>2.0384653162369731E-2</v>
      </c>
      <c r="AI12">
        <f t="shared" si="15"/>
        <v>5.905047403128365E-3</v>
      </c>
      <c r="AJ12">
        <f t="shared" si="15"/>
        <v>5.905047403128365E-3</v>
      </c>
      <c r="AK12">
        <f t="shared" si="15"/>
        <v>2.0384653162369731E-2</v>
      </c>
      <c r="AL12">
        <f t="shared" si="16"/>
        <v>5.2579401130996191E-2</v>
      </c>
      <c r="AM12" s="7">
        <f t="shared" si="17"/>
        <v>70.976413873948133</v>
      </c>
    </row>
    <row r="13" spans="1:39" x14ac:dyDescent="0.25">
      <c r="B13" s="1">
        <v>9</v>
      </c>
      <c r="C13">
        <f>(9*60)+58</f>
        <v>598</v>
      </c>
      <c r="D13">
        <v>3489.1869999999999</v>
      </c>
      <c r="E13">
        <v>0</v>
      </c>
      <c r="F13">
        <f t="shared" si="3"/>
        <v>3489.1869999999999</v>
      </c>
      <c r="G13">
        <f t="shared" si="0"/>
        <v>9.4466321243537307E-2</v>
      </c>
      <c r="H13">
        <f t="shared" si="4"/>
        <v>3489.0925336787564</v>
      </c>
      <c r="I13" s="5">
        <f t="shared" si="5"/>
        <v>1.1335336787565211</v>
      </c>
      <c r="J13" s="7">
        <f t="shared" si="6"/>
        <v>978092.54153367877</v>
      </c>
      <c r="K13" s="5">
        <v>6</v>
      </c>
      <c r="L13" s="5">
        <v>38</v>
      </c>
      <c r="M13" s="5">
        <v>59.53</v>
      </c>
      <c r="N13" s="8">
        <v>106</v>
      </c>
      <c r="O13" s="8">
        <v>33</v>
      </c>
      <c r="P13" s="8">
        <v>39.4</v>
      </c>
      <c r="Q13" s="9">
        <f t="shared" si="1"/>
        <v>-6.6498694444444437</v>
      </c>
      <c r="R13">
        <f t="shared" si="7"/>
        <v>106.56094444444444</v>
      </c>
      <c r="S13">
        <f t="shared" si="8"/>
        <v>-0.11606211663332169</v>
      </c>
      <c r="T13">
        <v>419</v>
      </c>
      <c r="U13">
        <f t="shared" si="2"/>
        <v>9.062176165803109</v>
      </c>
      <c r="V13">
        <f t="shared" si="9"/>
        <v>409.93782383419688</v>
      </c>
      <c r="W13">
        <f t="shared" si="18"/>
        <v>13.937823834196877</v>
      </c>
      <c r="X13">
        <f t="shared" si="19"/>
        <v>410.45682383419688</v>
      </c>
      <c r="Y13">
        <f t="shared" si="10"/>
        <v>0.54135790930381777</v>
      </c>
      <c r="Z13">
        <f t="shared" si="11"/>
        <v>978101.34333583061</v>
      </c>
      <c r="AA13">
        <f t="shared" si="12"/>
        <v>126.62593015284973</v>
      </c>
      <c r="AB13" s="7">
        <f t="shared" si="13"/>
        <v>117.82412800101328</v>
      </c>
      <c r="AC13">
        <f t="shared" si="14"/>
        <v>45.864240266821241</v>
      </c>
      <c r="AD13" s="1">
        <v>2</v>
      </c>
      <c r="AE13" s="1">
        <v>3</v>
      </c>
      <c r="AF13" s="1">
        <v>-1</v>
      </c>
      <c r="AG13" s="1">
        <v>-2</v>
      </c>
      <c r="AH13">
        <f t="shared" si="15"/>
        <v>2.0384653162369731E-2</v>
      </c>
      <c r="AI13">
        <f t="shared" si="15"/>
        <v>3.8655831353907356E-2</v>
      </c>
      <c r="AJ13">
        <f t="shared" si="15"/>
        <v>5.905047403128365E-3</v>
      </c>
      <c r="AK13">
        <f t="shared" si="15"/>
        <v>2.0384653162369731E-2</v>
      </c>
      <c r="AL13">
        <f t="shared" si="16"/>
        <v>8.5330185081775187E-2</v>
      </c>
      <c r="AM13" s="7">
        <f t="shared" si="17"/>
        <v>71.503860009969998</v>
      </c>
    </row>
    <row r="14" spans="1:39" x14ac:dyDescent="0.25">
      <c r="B14" s="1">
        <v>10</v>
      </c>
      <c r="C14">
        <f>(10*60)+4</f>
        <v>604</v>
      </c>
      <c r="D14">
        <v>3488.9250000000002</v>
      </c>
      <c r="E14">
        <v>0</v>
      </c>
      <c r="F14">
        <f t="shared" si="3"/>
        <v>3488.9250000000002</v>
      </c>
      <c r="G14">
        <f t="shared" si="0"/>
        <v>9.9813471502605458E-2</v>
      </c>
      <c r="H14">
        <f t="shared" si="4"/>
        <v>3488.8251865284974</v>
      </c>
      <c r="I14" s="5">
        <f t="shared" si="5"/>
        <v>0.86618652849756472</v>
      </c>
      <c r="J14" s="7">
        <f t="shared" si="6"/>
        <v>978092.27418652852</v>
      </c>
      <c r="K14" s="5">
        <v>6</v>
      </c>
      <c r="L14" s="5">
        <v>38</v>
      </c>
      <c r="M14" s="5">
        <v>57.5</v>
      </c>
      <c r="N14" s="8">
        <v>106</v>
      </c>
      <c r="O14" s="8">
        <v>33</v>
      </c>
      <c r="P14" s="8">
        <v>38.6</v>
      </c>
      <c r="Q14" s="9">
        <f t="shared" si="1"/>
        <v>-6.6493055555555554</v>
      </c>
      <c r="R14">
        <f t="shared" si="7"/>
        <v>106.56072222222222</v>
      </c>
      <c r="S14">
        <f t="shared" si="8"/>
        <v>-0.11605227491559518</v>
      </c>
      <c r="T14">
        <v>420</v>
      </c>
      <c r="U14">
        <f t="shared" si="2"/>
        <v>9.5751295336787567</v>
      </c>
      <c r="V14">
        <f t="shared" si="9"/>
        <v>410.42487046632124</v>
      </c>
      <c r="W14">
        <f t="shared" si="18"/>
        <v>14.424870466321238</v>
      </c>
      <c r="X14">
        <f t="shared" si="19"/>
        <v>410.94387046632124</v>
      </c>
      <c r="Y14">
        <f t="shared" si="10"/>
        <v>0.54192958319498186</v>
      </c>
      <c r="Z14">
        <f t="shared" si="11"/>
        <v>978101.33159519359</v>
      </c>
      <c r="AA14">
        <f t="shared" si="12"/>
        <v>126.77618403886011</v>
      </c>
      <c r="AB14" s="7">
        <f t="shared" si="13"/>
        <v>117.71877537378607</v>
      </c>
      <c r="AC14">
        <f t="shared" si="14"/>
        <v>45.918662613971499</v>
      </c>
      <c r="AD14" s="1">
        <v>1</v>
      </c>
      <c r="AE14" s="1">
        <v>-3</v>
      </c>
      <c r="AF14" s="1">
        <v>-4</v>
      </c>
      <c r="AG14" s="1">
        <v>-3</v>
      </c>
      <c r="AH14">
        <f t="shared" si="15"/>
        <v>5.905047403128365E-3</v>
      </c>
      <c r="AI14">
        <f t="shared" si="15"/>
        <v>3.8655831353907356E-2</v>
      </c>
      <c r="AJ14">
        <f t="shared" si="15"/>
        <v>5.8077564065738108E-2</v>
      </c>
      <c r="AK14">
        <f t="shared" si="15"/>
        <v>3.8655831353907356E-2</v>
      </c>
      <c r="AL14">
        <f t="shared" si="16"/>
        <v>0.14129427417668119</v>
      </c>
      <c r="AM14" s="7">
        <f t="shared" si="17"/>
        <v>71.399477450796269</v>
      </c>
    </row>
    <row r="15" spans="1:39" x14ac:dyDescent="0.25">
      <c r="B15" s="1">
        <v>11</v>
      </c>
      <c r="C15">
        <f>(10*60)+31</f>
        <v>631</v>
      </c>
      <c r="D15">
        <v>3488.9690000000001</v>
      </c>
      <c r="E15">
        <v>0</v>
      </c>
      <c r="F15">
        <f t="shared" si="3"/>
        <v>3488.9690000000001</v>
      </c>
      <c r="G15">
        <f t="shared" si="0"/>
        <v>0.12387564766841212</v>
      </c>
      <c r="H15">
        <f t="shared" si="4"/>
        <v>3488.8451243523318</v>
      </c>
      <c r="I15" s="5">
        <f t="shared" si="5"/>
        <v>0.88612435233198994</v>
      </c>
      <c r="J15" s="7">
        <f t="shared" si="6"/>
        <v>978092.2941243524</v>
      </c>
      <c r="K15" s="5">
        <v>6</v>
      </c>
      <c r="L15" s="5">
        <v>38</v>
      </c>
      <c r="M15" s="5">
        <v>55.97</v>
      </c>
      <c r="N15" s="8">
        <v>106</v>
      </c>
      <c r="O15" s="8">
        <v>33</v>
      </c>
      <c r="P15" s="8">
        <v>37.31</v>
      </c>
      <c r="Q15" s="9">
        <f t="shared" si="1"/>
        <v>-6.6488805555555555</v>
      </c>
      <c r="R15">
        <f t="shared" si="7"/>
        <v>106.56036388888889</v>
      </c>
      <c r="S15">
        <f t="shared" si="8"/>
        <v>-0.1160448572662742</v>
      </c>
      <c r="T15">
        <v>421</v>
      </c>
      <c r="U15">
        <f t="shared" si="2"/>
        <v>11.883419689119171</v>
      </c>
      <c r="V15">
        <f t="shared" si="9"/>
        <v>409.11658031088081</v>
      </c>
      <c r="W15">
        <f t="shared" si="18"/>
        <v>13.116580310880806</v>
      </c>
      <c r="X15">
        <f t="shared" si="19"/>
        <v>409.63558031088081</v>
      </c>
      <c r="Y15">
        <f t="shared" si="10"/>
        <v>0.54039359031273182</v>
      </c>
      <c r="Z15">
        <f t="shared" si="11"/>
        <v>978101.32274698524</v>
      </c>
      <c r="AA15">
        <f t="shared" si="12"/>
        <v>126.37257652590672</v>
      </c>
      <c r="AB15" s="7">
        <f t="shared" si="13"/>
        <v>117.34395389306049</v>
      </c>
      <c r="AC15">
        <f t="shared" si="14"/>
        <v>45.772474926147666</v>
      </c>
      <c r="AD15" s="1">
        <v>3</v>
      </c>
      <c r="AE15" s="1">
        <v>-2</v>
      </c>
      <c r="AF15" s="1">
        <v>-3</v>
      </c>
      <c r="AG15" s="1">
        <v>-1</v>
      </c>
      <c r="AH15">
        <f t="shared" si="15"/>
        <v>3.8655831353907356E-2</v>
      </c>
      <c r="AI15">
        <f t="shared" si="15"/>
        <v>2.0384653162369731E-2</v>
      </c>
      <c r="AJ15">
        <f t="shared" si="15"/>
        <v>3.8655831353907356E-2</v>
      </c>
      <c r="AK15">
        <f t="shared" si="15"/>
        <v>5.905047403128365E-3</v>
      </c>
      <c r="AL15">
        <f t="shared" si="16"/>
        <v>0.1036013632733128</v>
      </c>
      <c r="AM15" s="7">
        <f t="shared" si="17"/>
        <v>71.134686739873402</v>
      </c>
    </row>
    <row r="16" spans="1:39" x14ac:dyDescent="0.25">
      <c r="B16" s="1">
        <v>12</v>
      </c>
      <c r="C16">
        <f>(10*60)+35</f>
        <v>635</v>
      </c>
      <c r="D16">
        <v>3489.1329999999998</v>
      </c>
      <c r="E16">
        <v>0</v>
      </c>
      <c r="F16">
        <f t="shared" si="3"/>
        <v>3489.1329999999998</v>
      </c>
      <c r="G16">
        <f t="shared" si="0"/>
        <v>0.12744041450779089</v>
      </c>
      <c r="H16">
        <f t="shared" si="4"/>
        <v>3489.0055595854919</v>
      </c>
      <c r="I16" s="5">
        <f t="shared" si="5"/>
        <v>1.0465595854921048</v>
      </c>
      <c r="J16" s="7">
        <f t="shared" si="6"/>
        <v>978092.45455958555</v>
      </c>
      <c r="K16" s="5">
        <v>6</v>
      </c>
      <c r="L16" s="5">
        <v>38</v>
      </c>
      <c r="M16" s="5">
        <v>54.18</v>
      </c>
      <c r="N16" s="8">
        <v>106</v>
      </c>
      <c r="O16" s="8">
        <v>33</v>
      </c>
      <c r="P16" s="8">
        <v>35.96</v>
      </c>
      <c r="Q16" s="9">
        <f t="shared" si="1"/>
        <v>-6.6483833333333324</v>
      </c>
      <c r="R16">
        <f t="shared" si="7"/>
        <v>106.55998888888888</v>
      </c>
      <c r="S16">
        <f t="shared" si="8"/>
        <v>-0.11603617910138232</v>
      </c>
      <c r="T16">
        <v>420</v>
      </c>
      <c r="U16">
        <f t="shared" si="2"/>
        <v>12.22538860103627</v>
      </c>
      <c r="V16">
        <f t="shared" si="9"/>
        <v>407.77461139896371</v>
      </c>
      <c r="W16">
        <f t="shared" si="18"/>
        <v>11.774611398963714</v>
      </c>
      <c r="X16">
        <f t="shared" si="19"/>
        <v>408.29361139896372</v>
      </c>
      <c r="Y16">
        <f t="shared" si="10"/>
        <v>0.53881680078237792</v>
      </c>
      <c r="Z16">
        <f t="shared" si="11"/>
        <v>978101.31239586475</v>
      </c>
      <c r="AA16">
        <f t="shared" si="12"/>
        <v>125.95857911658031</v>
      </c>
      <c r="AB16" s="7">
        <f t="shared" si="13"/>
        <v>117.10074283737713</v>
      </c>
      <c r="AC16">
        <f t="shared" si="14"/>
        <v>45.622523990914502</v>
      </c>
      <c r="AD16" s="1">
        <v>3</v>
      </c>
      <c r="AE16" s="1">
        <v>-1</v>
      </c>
      <c r="AF16" s="1">
        <v>-2</v>
      </c>
      <c r="AG16" s="1">
        <v>-3</v>
      </c>
      <c r="AH16">
        <f t="shared" si="15"/>
        <v>3.8655831353907356E-2</v>
      </c>
      <c r="AI16">
        <f t="shared" si="15"/>
        <v>5.905047403128365E-3</v>
      </c>
      <c r="AJ16">
        <f t="shared" si="15"/>
        <v>2.0384653162369731E-2</v>
      </c>
      <c r="AK16">
        <f t="shared" si="15"/>
        <v>3.8655831353907356E-2</v>
      </c>
      <c r="AL16">
        <f t="shared" si="16"/>
        <v>0.10360136327331282</v>
      </c>
      <c r="AM16" s="7">
        <f t="shared" si="17"/>
        <v>71.043003408953552</v>
      </c>
    </row>
    <row r="17" spans="2:39" x14ac:dyDescent="0.25">
      <c r="B17" s="1">
        <v>13</v>
      </c>
      <c r="C17">
        <f>(10*60)+41</f>
        <v>641</v>
      </c>
      <c r="D17">
        <v>3486.3850000000002</v>
      </c>
      <c r="E17">
        <v>0</v>
      </c>
      <c r="F17">
        <f t="shared" si="3"/>
        <v>3486.3850000000002</v>
      </c>
      <c r="G17">
        <f t="shared" si="0"/>
        <v>0.13278756476685905</v>
      </c>
      <c r="H17">
        <f t="shared" si="4"/>
        <v>3486.2522124352336</v>
      </c>
      <c r="I17" s="5">
        <f t="shared" si="5"/>
        <v>-1.7067875647662731</v>
      </c>
      <c r="J17" s="7">
        <f t="shared" si="6"/>
        <v>978089.70121243526</v>
      </c>
      <c r="K17" s="5">
        <v>6</v>
      </c>
      <c r="L17" s="5">
        <v>38</v>
      </c>
      <c r="M17" s="5">
        <v>52.98</v>
      </c>
      <c r="N17" s="8">
        <v>106</v>
      </c>
      <c r="O17" s="8">
        <v>33</v>
      </c>
      <c r="P17" s="8">
        <v>36.24</v>
      </c>
      <c r="Q17" s="9">
        <f t="shared" si="1"/>
        <v>-6.6480499999999996</v>
      </c>
      <c r="R17">
        <f t="shared" si="7"/>
        <v>106.56006666666666</v>
      </c>
      <c r="S17">
        <f t="shared" si="8"/>
        <v>-0.11603036133720902</v>
      </c>
      <c r="T17">
        <v>431</v>
      </c>
      <c r="U17">
        <f t="shared" si="2"/>
        <v>12.738341968911918</v>
      </c>
      <c r="V17">
        <f t="shared" si="9"/>
        <v>418.26165803108807</v>
      </c>
      <c r="W17">
        <f t="shared" si="18"/>
        <v>22.261658031088075</v>
      </c>
      <c r="X17">
        <f t="shared" si="19"/>
        <v>418.78065803108808</v>
      </c>
      <c r="Y17">
        <f t="shared" si="10"/>
        <v>0.55110501834602155</v>
      </c>
      <c r="Z17">
        <f t="shared" si="11"/>
        <v>978101.30545699201</v>
      </c>
      <c r="AA17">
        <f t="shared" si="12"/>
        <v>129.19383300259068</v>
      </c>
      <c r="AB17" s="7">
        <f t="shared" si="13"/>
        <v>117.58958844584703</v>
      </c>
      <c r="AC17">
        <f t="shared" si="14"/>
        <v>46.794341338064761</v>
      </c>
      <c r="AD17" s="1">
        <v>4</v>
      </c>
      <c r="AE17" s="1">
        <v>3</v>
      </c>
      <c r="AF17" s="1">
        <v>-3</v>
      </c>
      <c r="AG17" s="1">
        <v>-4</v>
      </c>
      <c r="AH17">
        <f t="shared" si="15"/>
        <v>5.8077564065738108E-2</v>
      </c>
      <c r="AI17">
        <f t="shared" si="15"/>
        <v>3.8655831353907356E-2</v>
      </c>
      <c r="AJ17">
        <f t="shared" si="15"/>
        <v>3.8655831353907356E-2</v>
      </c>
      <c r="AK17">
        <f t="shared" si="15"/>
        <v>5.8077564065738108E-2</v>
      </c>
      <c r="AL17">
        <f t="shared" si="16"/>
        <v>0.19346679083929091</v>
      </c>
      <c r="AM17" s="7">
        <f t="shared" si="17"/>
        <v>70.437608880275548</v>
      </c>
    </row>
    <row r="18" spans="2:39" x14ac:dyDescent="0.25">
      <c r="B18" s="1">
        <v>14</v>
      </c>
      <c r="C18">
        <f>(10*60)+45</f>
        <v>645</v>
      </c>
      <c r="D18">
        <v>3486.0770000000002</v>
      </c>
      <c r="E18">
        <v>0</v>
      </c>
      <c r="F18">
        <f t="shared" si="3"/>
        <v>3486.0770000000002</v>
      </c>
      <c r="G18">
        <f t="shared" si="0"/>
        <v>0.1363523316062378</v>
      </c>
      <c r="H18">
        <f t="shared" si="4"/>
        <v>3485.9406476683939</v>
      </c>
      <c r="I18" s="5">
        <f t="shared" si="5"/>
        <v>-2.0183523316059109</v>
      </c>
      <c r="J18" s="7">
        <f t="shared" si="6"/>
        <v>978089.38964766846</v>
      </c>
      <c r="K18" s="5">
        <v>6</v>
      </c>
      <c r="L18" s="5">
        <v>38</v>
      </c>
      <c r="M18" s="5">
        <v>51.04</v>
      </c>
      <c r="N18" s="8">
        <v>106</v>
      </c>
      <c r="O18" s="8">
        <v>33</v>
      </c>
      <c r="P18" s="8">
        <v>35.61</v>
      </c>
      <c r="Q18" s="9">
        <f t="shared" si="1"/>
        <v>-6.6475111111111103</v>
      </c>
      <c r="R18">
        <f t="shared" si="7"/>
        <v>106.55989166666666</v>
      </c>
      <c r="S18">
        <f t="shared" si="8"/>
        <v>-0.11602095595179548</v>
      </c>
      <c r="T18">
        <v>433</v>
      </c>
      <c r="U18">
        <f t="shared" si="2"/>
        <v>13.080310880829016</v>
      </c>
      <c r="V18">
        <f t="shared" si="9"/>
        <v>419.91968911917098</v>
      </c>
      <c r="W18">
        <f t="shared" si="18"/>
        <v>23.919689119170982</v>
      </c>
      <c r="X18">
        <f t="shared" si="19"/>
        <v>420.43868911917099</v>
      </c>
      <c r="Y18">
        <f t="shared" si="10"/>
        <v>0.55304070686905027</v>
      </c>
      <c r="Z18">
        <f t="shared" si="11"/>
        <v>978101.29423986992</v>
      </c>
      <c r="AA18">
        <f t="shared" si="12"/>
        <v>129.70533559326424</v>
      </c>
      <c r="AB18" s="7">
        <f t="shared" si="13"/>
        <v>117.80074339180129</v>
      </c>
      <c r="AC18">
        <f t="shared" si="14"/>
        <v>46.9796089028316</v>
      </c>
      <c r="AD18" s="1">
        <v>3</v>
      </c>
      <c r="AE18" s="1">
        <v>-2</v>
      </c>
      <c r="AF18" s="1">
        <v>4</v>
      </c>
      <c r="AG18" s="1">
        <v>4</v>
      </c>
      <c r="AH18">
        <f t="shared" si="15"/>
        <v>3.8655831353907356E-2</v>
      </c>
      <c r="AI18">
        <f t="shared" si="15"/>
        <v>2.0384653162369731E-2</v>
      </c>
      <c r="AJ18">
        <f t="shared" si="15"/>
        <v>5.8077564065738108E-2</v>
      </c>
      <c r="AK18">
        <f t="shared" si="15"/>
        <v>5.8077564065738108E-2</v>
      </c>
      <c r="AL18">
        <f t="shared" si="16"/>
        <v>0.1751956126477533</v>
      </c>
      <c r="AM18" s="7">
        <f t="shared" si="17"/>
        <v>70.44328939474839</v>
      </c>
    </row>
    <row r="19" spans="2:39" x14ac:dyDescent="0.25">
      <c r="B19" s="1">
        <v>15</v>
      </c>
      <c r="C19">
        <f>(10*60)+51</f>
        <v>651</v>
      </c>
      <c r="D19">
        <v>3483.0279999999998</v>
      </c>
      <c r="E19">
        <v>0</v>
      </c>
      <c r="F19">
        <f t="shared" si="3"/>
        <v>3483.0279999999998</v>
      </c>
      <c r="G19">
        <f t="shared" si="0"/>
        <v>0.14169948186530595</v>
      </c>
      <c r="H19">
        <f t="shared" si="4"/>
        <v>3482.8863005181347</v>
      </c>
      <c r="I19" s="5">
        <f t="shared" si="5"/>
        <v>-5.0726994818651292</v>
      </c>
      <c r="J19" s="7">
        <f t="shared" si="6"/>
        <v>978086.3353005182</v>
      </c>
      <c r="K19" s="5">
        <v>6</v>
      </c>
      <c r="L19" s="5">
        <v>37</v>
      </c>
      <c r="M19" s="5">
        <v>49.55</v>
      </c>
      <c r="N19" s="8">
        <v>106</v>
      </c>
      <c r="O19" s="8">
        <v>33</v>
      </c>
      <c r="P19" s="8">
        <v>34.21</v>
      </c>
      <c r="Q19" s="9">
        <f t="shared" si="1"/>
        <v>-6.6304305555555558</v>
      </c>
      <c r="R19">
        <f t="shared" si="7"/>
        <v>106.55950277777778</v>
      </c>
      <c r="S19">
        <f t="shared" si="8"/>
        <v>-0.11572284401928125</v>
      </c>
      <c r="T19">
        <v>442</v>
      </c>
      <c r="U19">
        <f t="shared" si="2"/>
        <v>13.593264248704664</v>
      </c>
      <c r="V19">
        <f t="shared" si="9"/>
        <v>428.40673575129534</v>
      </c>
      <c r="W19">
        <f t="shared" si="18"/>
        <v>32.406735751295344</v>
      </c>
      <c r="X19">
        <f t="shared" si="19"/>
        <v>428.92573575129535</v>
      </c>
      <c r="Y19">
        <f t="shared" si="10"/>
        <v>0.56291860009641681</v>
      </c>
      <c r="Z19">
        <f t="shared" si="11"/>
        <v>978100.93916605366</v>
      </c>
      <c r="AA19">
        <f t="shared" si="12"/>
        <v>132.3235894792746</v>
      </c>
      <c r="AB19" s="7">
        <f t="shared" si="13"/>
        <v>117.71972394381046</v>
      </c>
      <c r="AC19">
        <f t="shared" si="14"/>
        <v>47.927947249981862</v>
      </c>
      <c r="AD19" s="1">
        <v>4</v>
      </c>
      <c r="AE19" s="1">
        <v>-2</v>
      </c>
      <c r="AF19" s="1">
        <v>-3</v>
      </c>
      <c r="AG19" s="1">
        <v>-2</v>
      </c>
      <c r="AH19">
        <f t="shared" si="15"/>
        <v>5.8077564065738108E-2</v>
      </c>
      <c r="AI19">
        <f t="shared" si="15"/>
        <v>2.0384653162369731E-2</v>
      </c>
      <c r="AJ19">
        <f t="shared" si="15"/>
        <v>3.8655831353907356E-2</v>
      </c>
      <c r="AK19">
        <f t="shared" si="15"/>
        <v>2.0384653162369731E-2</v>
      </c>
      <c r="AL19">
        <f t="shared" si="16"/>
        <v>0.13750270174438492</v>
      </c>
      <c r="AM19" s="7">
        <f t="shared" si="17"/>
        <v>69.366360795476567</v>
      </c>
    </row>
    <row r="20" spans="2:39" x14ac:dyDescent="0.25">
      <c r="B20" s="1">
        <v>16</v>
      </c>
      <c r="C20">
        <f>(10*60)+55</f>
        <v>655</v>
      </c>
      <c r="D20">
        <v>3482.6120000000001</v>
      </c>
      <c r="E20">
        <v>0</v>
      </c>
      <c r="F20">
        <f t="shared" si="3"/>
        <v>3482.6120000000001</v>
      </c>
      <c r="G20">
        <f t="shared" si="0"/>
        <v>0.14526424870468471</v>
      </c>
      <c r="H20">
        <f t="shared" si="4"/>
        <v>3482.4667357512953</v>
      </c>
      <c r="I20" s="5">
        <f t="shared" si="5"/>
        <v>-5.4922642487044868</v>
      </c>
      <c r="J20" s="7">
        <f t="shared" si="6"/>
        <v>978085.91573575139</v>
      </c>
      <c r="K20" s="5">
        <v>6</v>
      </c>
      <c r="L20" s="5">
        <v>37</v>
      </c>
      <c r="M20" s="5">
        <v>48.03</v>
      </c>
      <c r="N20" s="8">
        <v>106</v>
      </c>
      <c r="O20" s="8">
        <v>33</v>
      </c>
      <c r="P20" s="8">
        <v>33.57</v>
      </c>
      <c r="Q20" s="9">
        <f t="shared" si="1"/>
        <v>-6.6300083333333335</v>
      </c>
      <c r="R20">
        <f t="shared" si="7"/>
        <v>106.559325</v>
      </c>
      <c r="S20">
        <f t="shared" si="8"/>
        <v>-0.11571547485132838</v>
      </c>
      <c r="T20">
        <v>443</v>
      </c>
      <c r="U20">
        <f t="shared" si="2"/>
        <v>13.935233160621761</v>
      </c>
      <c r="V20">
        <f t="shared" si="9"/>
        <v>429.06476683937825</v>
      </c>
      <c r="W20">
        <f t="shared" si="18"/>
        <v>33.064766839378251</v>
      </c>
      <c r="X20">
        <f t="shared" si="19"/>
        <v>429.58376683937826</v>
      </c>
      <c r="Y20">
        <f t="shared" si="10"/>
        <v>0.56368234294381014</v>
      </c>
      <c r="Z20">
        <f t="shared" si="11"/>
        <v>978100.93040018086</v>
      </c>
      <c r="AA20">
        <f t="shared" si="12"/>
        <v>132.52659206994818</v>
      </c>
      <c r="AB20" s="7">
        <f t="shared" si="13"/>
        <v>117.51192764047542</v>
      </c>
      <c r="AC20">
        <f t="shared" si="14"/>
        <v>48.001475314748703</v>
      </c>
      <c r="AD20" s="1">
        <v>5</v>
      </c>
      <c r="AE20" s="1">
        <v>4</v>
      </c>
      <c r="AF20" s="1">
        <v>-3</v>
      </c>
      <c r="AG20" s="1">
        <v>4</v>
      </c>
      <c r="AH20">
        <f t="shared" si="15"/>
        <v>7.7480378373566541E-2</v>
      </c>
      <c r="AI20">
        <f t="shared" si="15"/>
        <v>5.8077564065738108E-2</v>
      </c>
      <c r="AJ20">
        <f t="shared" si="15"/>
        <v>3.8655831353907356E-2</v>
      </c>
      <c r="AK20">
        <f t="shared" si="15"/>
        <v>5.8077564065738108E-2</v>
      </c>
      <c r="AL20">
        <f t="shared" si="16"/>
        <v>0.23229133785895009</v>
      </c>
      <c r="AM20" s="7">
        <f t="shared" si="17"/>
        <v>69.179061320641864</v>
      </c>
    </row>
    <row r="21" spans="2:39" x14ac:dyDescent="0.25">
      <c r="B21" s="1">
        <v>17</v>
      </c>
      <c r="C21">
        <f>(11*60)+1</f>
        <v>661</v>
      </c>
      <c r="D21">
        <v>3478.384</v>
      </c>
      <c r="E21">
        <v>0</v>
      </c>
      <c r="F21">
        <f t="shared" si="3"/>
        <v>3478.384</v>
      </c>
      <c r="G21">
        <f t="shared" si="0"/>
        <v>0.15061139896375286</v>
      </c>
      <c r="H21">
        <f t="shared" si="4"/>
        <v>3478.233388601036</v>
      </c>
      <c r="I21" s="5">
        <f t="shared" si="5"/>
        <v>-9.7256113989637925</v>
      </c>
      <c r="J21" s="7">
        <f t="shared" si="6"/>
        <v>978081.68238860113</v>
      </c>
      <c r="K21" s="5">
        <v>6</v>
      </c>
      <c r="L21" s="5">
        <v>37</v>
      </c>
      <c r="M21" s="5">
        <v>46.13</v>
      </c>
      <c r="N21" s="8">
        <v>106</v>
      </c>
      <c r="O21" s="8">
        <v>33</v>
      </c>
      <c r="P21" s="8">
        <v>33.049999999999997</v>
      </c>
      <c r="Q21" s="9">
        <f t="shared" si="1"/>
        <v>-6.6294805555555563</v>
      </c>
      <c r="R21">
        <f t="shared" si="7"/>
        <v>106.55918055555556</v>
      </c>
      <c r="S21">
        <f t="shared" si="8"/>
        <v>-0.11570626339138732</v>
      </c>
      <c r="T21">
        <v>462</v>
      </c>
      <c r="U21">
        <f t="shared" si="2"/>
        <v>14.448186528497409</v>
      </c>
      <c r="V21">
        <f t="shared" si="9"/>
        <v>447.55181347150261</v>
      </c>
      <c r="W21">
        <f t="shared" si="18"/>
        <v>51.551813471502612</v>
      </c>
      <c r="X21">
        <f t="shared" si="19"/>
        <v>448.07081347150262</v>
      </c>
      <c r="Y21">
        <f t="shared" si="10"/>
        <v>0.58501429259367055</v>
      </c>
      <c r="Z21">
        <f t="shared" si="11"/>
        <v>978100.91944361059</v>
      </c>
      <c r="AA21">
        <f t="shared" si="12"/>
        <v>138.22984595595855</v>
      </c>
      <c r="AB21" s="7">
        <f t="shared" si="13"/>
        <v>118.99279094649475</v>
      </c>
      <c r="AC21">
        <f t="shared" si="14"/>
        <v>50.06720866189896</v>
      </c>
      <c r="AD21" s="1">
        <v>6</v>
      </c>
      <c r="AE21" s="1">
        <v>-5</v>
      </c>
      <c r="AF21" s="1">
        <v>-6</v>
      </c>
      <c r="AG21" s="1">
        <v>4</v>
      </c>
      <c r="AH21">
        <f t="shared" si="15"/>
        <v>9.6344027617202871E-2</v>
      </c>
      <c r="AI21">
        <f t="shared" si="15"/>
        <v>7.7480378373566541E-2</v>
      </c>
      <c r="AJ21">
        <f t="shared" si="15"/>
        <v>9.6344027617202871E-2</v>
      </c>
      <c r="AK21">
        <f t="shared" si="15"/>
        <v>5.8077564065738108E-2</v>
      </c>
      <c r="AL21">
        <f t="shared" si="16"/>
        <v>0.32824599767371038</v>
      </c>
      <c r="AM21" s="7">
        <f t="shared" si="17"/>
        <v>68.668813989675826</v>
      </c>
    </row>
    <row r="22" spans="2:39" x14ac:dyDescent="0.25">
      <c r="B22" s="1">
        <v>18</v>
      </c>
      <c r="C22">
        <f>(11*60)+54</f>
        <v>714</v>
      </c>
      <c r="D22">
        <v>3472.2310000000002</v>
      </c>
      <c r="E22">
        <v>0</v>
      </c>
      <c r="F22">
        <f t="shared" si="3"/>
        <v>3472.2310000000002</v>
      </c>
      <c r="G22">
        <f t="shared" si="0"/>
        <v>0.19784455958552152</v>
      </c>
      <c r="H22">
        <f t="shared" si="4"/>
        <v>3472.0331554404147</v>
      </c>
      <c r="I22" s="5">
        <f t="shared" si="5"/>
        <v>-15.92584455958513</v>
      </c>
      <c r="J22" s="7">
        <f t="shared" si="6"/>
        <v>978075.48215544049</v>
      </c>
      <c r="K22" s="5">
        <v>6</v>
      </c>
      <c r="L22" s="5">
        <v>37</v>
      </c>
      <c r="M22" s="5">
        <v>44.14</v>
      </c>
      <c r="N22" s="8">
        <v>106</v>
      </c>
      <c r="O22" s="8">
        <v>33</v>
      </c>
      <c r="P22" s="8">
        <v>32.200000000000003</v>
      </c>
      <c r="Q22" s="9">
        <f t="shared" si="1"/>
        <v>-6.6289277777777782</v>
      </c>
      <c r="R22">
        <f t="shared" si="7"/>
        <v>106.55894444444444</v>
      </c>
      <c r="S22">
        <f t="shared" si="8"/>
        <v>-0.11569661559913323</v>
      </c>
      <c r="T22">
        <v>493</v>
      </c>
      <c r="U22">
        <f t="shared" si="2"/>
        <v>18.979274611398964</v>
      </c>
      <c r="V22">
        <f t="shared" si="9"/>
        <v>474.02072538860102</v>
      </c>
      <c r="W22">
        <f t="shared" si="18"/>
        <v>78.020725388601022</v>
      </c>
      <c r="X22">
        <f t="shared" si="19"/>
        <v>474.53972538860103</v>
      </c>
      <c r="Y22">
        <f t="shared" si="10"/>
        <v>0.61513610904968685</v>
      </c>
      <c r="Z22">
        <f t="shared" si="11"/>
        <v>978100.90796896326</v>
      </c>
      <c r="AA22">
        <f t="shared" si="12"/>
        <v>146.39550528238343</v>
      </c>
      <c r="AB22" s="7">
        <f t="shared" si="13"/>
        <v>120.96969175961149</v>
      </c>
      <c r="AC22">
        <f t="shared" si="14"/>
        <v>53.024831645059578</v>
      </c>
      <c r="AD22" s="1">
        <v>6</v>
      </c>
      <c r="AE22" s="1">
        <v>-5</v>
      </c>
      <c r="AF22" s="1">
        <v>-6</v>
      </c>
      <c r="AG22" s="1">
        <v>5</v>
      </c>
      <c r="AH22">
        <f t="shared" si="15"/>
        <v>9.6344027617202871E-2</v>
      </c>
      <c r="AI22">
        <f t="shared" si="15"/>
        <v>7.7480378373566541E-2</v>
      </c>
      <c r="AJ22">
        <f t="shared" si="15"/>
        <v>9.6344027617202871E-2</v>
      </c>
      <c r="AK22">
        <f t="shared" si="15"/>
        <v>7.7480378373566541E-2</v>
      </c>
      <c r="AL22">
        <f t="shared" si="16"/>
        <v>0.3476488119815388</v>
      </c>
      <c r="AM22" s="7">
        <f t="shared" si="17"/>
        <v>67.677372817483771</v>
      </c>
    </row>
    <row r="23" spans="2:39" x14ac:dyDescent="0.25">
      <c r="B23" s="1">
        <v>19</v>
      </c>
      <c r="C23">
        <f>(12*60)+41</f>
        <v>761</v>
      </c>
      <c r="D23">
        <v>3463.3519999999999</v>
      </c>
      <c r="E23">
        <v>0</v>
      </c>
      <c r="F23">
        <f t="shared" si="3"/>
        <v>3463.3519999999999</v>
      </c>
      <c r="G23">
        <f t="shared" si="0"/>
        <v>0.23973056994822203</v>
      </c>
      <c r="H23">
        <f t="shared" si="4"/>
        <v>3463.1122694300516</v>
      </c>
      <c r="I23" s="5">
        <f t="shared" si="5"/>
        <v>-24.846730569948249</v>
      </c>
      <c r="J23" s="7">
        <f t="shared" si="6"/>
        <v>978066.56126943009</v>
      </c>
      <c r="K23" s="5">
        <v>6</v>
      </c>
      <c r="L23" s="5">
        <v>37</v>
      </c>
      <c r="M23" s="5">
        <v>43.39</v>
      </c>
      <c r="N23" s="8">
        <v>106</v>
      </c>
      <c r="O23" s="8">
        <v>33</v>
      </c>
      <c r="P23" s="8">
        <v>31.93</v>
      </c>
      <c r="Q23" s="9">
        <f t="shared" si="1"/>
        <v>-6.6287194444444451</v>
      </c>
      <c r="R23">
        <f t="shared" si="7"/>
        <v>106.55886944444444</v>
      </c>
      <c r="S23">
        <f t="shared" si="8"/>
        <v>-0.11569297949652491</v>
      </c>
      <c r="T23">
        <v>526</v>
      </c>
      <c r="U23">
        <f t="shared" si="2"/>
        <v>22.997409326424872</v>
      </c>
      <c r="V23">
        <f t="shared" si="9"/>
        <v>503.00259067357513</v>
      </c>
      <c r="W23">
        <f t="shared" si="18"/>
        <v>107.00259067357513</v>
      </c>
      <c r="X23">
        <f t="shared" si="19"/>
        <v>503.52159067357513</v>
      </c>
      <c r="Y23">
        <f t="shared" si="10"/>
        <v>0.6475500566951804</v>
      </c>
      <c r="Z23">
        <f t="shared" si="11"/>
        <v>978100.90364459157</v>
      </c>
      <c r="AA23">
        <f t="shared" si="12"/>
        <v>155.33641072279792</v>
      </c>
      <c r="AB23" s="7">
        <f t="shared" si="13"/>
        <v>120.99403556132242</v>
      </c>
      <c r="AC23">
        <f t="shared" si="14"/>
        <v>56.263250781069942</v>
      </c>
      <c r="AD23" s="1">
        <v>4</v>
      </c>
      <c r="AE23" s="1">
        <v>4</v>
      </c>
      <c r="AF23" s="1">
        <v>-6</v>
      </c>
      <c r="AG23" s="1">
        <v>-7</v>
      </c>
      <c r="AH23">
        <f t="shared" si="15"/>
        <v>5.8077564065738108E-2</v>
      </c>
      <c r="AI23">
        <f t="shared" si="15"/>
        <v>5.8077564065738108E-2</v>
      </c>
      <c r="AJ23">
        <f t="shared" si="15"/>
        <v>9.6344027617202871E-2</v>
      </c>
      <c r="AK23">
        <f t="shared" si="15"/>
        <v>0.11443114505672018</v>
      </c>
      <c r="AL23">
        <f t="shared" si="16"/>
        <v>0.32693030080539925</v>
      </c>
      <c r="AM23" s="7">
        <f t="shared" si="17"/>
        <v>64.410165024362698</v>
      </c>
    </row>
    <row r="24" spans="2:39" x14ac:dyDescent="0.25">
      <c r="B24" s="1">
        <v>20</v>
      </c>
      <c r="C24">
        <f>(12*60)+5</f>
        <v>725</v>
      </c>
      <c r="D24">
        <v>3462.0010000000002</v>
      </c>
      <c r="E24">
        <v>0</v>
      </c>
      <c r="F24">
        <f t="shared" si="3"/>
        <v>3462.0010000000002</v>
      </c>
      <c r="G24">
        <f t="shared" si="0"/>
        <v>0.20764766839381313</v>
      </c>
      <c r="H24">
        <f t="shared" si="4"/>
        <v>3461.7933523316065</v>
      </c>
      <c r="I24" s="5">
        <f t="shared" si="5"/>
        <v>-26.165647668393376</v>
      </c>
      <c r="J24" s="7">
        <f t="shared" si="6"/>
        <v>978065.24235233164</v>
      </c>
      <c r="K24" s="5">
        <v>6</v>
      </c>
      <c r="L24" s="5">
        <v>37</v>
      </c>
      <c r="M24" s="5">
        <v>42.68</v>
      </c>
      <c r="N24" s="8">
        <v>106</v>
      </c>
      <c r="O24" s="8">
        <v>33</v>
      </c>
      <c r="P24" s="8">
        <v>31.43</v>
      </c>
      <c r="Q24" s="9">
        <f t="shared" si="1"/>
        <v>-6.6285222222222231</v>
      </c>
      <c r="R24">
        <f t="shared" si="7"/>
        <v>106.55873055555556</v>
      </c>
      <c r="S24">
        <f t="shared" si="8"/>
        <v>-0.11568953731938904</v>
      </c>
      <c r="T24">
        <v>535</v>
      </c>
      <c r="U24">
        <f t="shared" si="2"/>
        <v>19.919689119170986</v>
      </c>
      <c r="V24">
        <f t="shared" si="9"/>
        <v>515.08031088082896</v>
      </c>
      <c r="W24">
        <f t="shared" si="18"/>
        <v>119.08031088082896</v>
      </c>
      <c r="X24">
        <f t="shared" si="19"/>
        <v>515.59931088082897</v>
      </c>
      <c r="Y24">
        <f t="shared" si="10"/>
        <v>0.66088288499239922</v>
      </c>
      <c r="Z24">
        <f t="shared" si="11"/>
        <v>978100.89955097565</v>
      </c>
      <c r="AA24">
        <f t="shared" si="12"/>
        <v>159.06238740673572</v>
      </c>
      <c r="AB24" s="7">
        <f t="shared" si="13"/>
        <v>123.40518876272537</v>
      </c>
      <c r="AC24">
        <f t="shared" si="14"/>
        <v>57.612809198168385</v>
      </c>
      <c r="AD24" s="1">
        <v>4</v>
      </c>
      <c r="AE24" s="1">
        <v>5</v>
      </c>
      <c r="AF24" s="1">
        <v>-5</v>
      </c>
      <c r="AG24" s="1">
        <v>-6</v>
      </c>
      <c r="AH24">
        <f t="shared" si="15"/>
        <v>5.8077564065738108E-2</v>
      </c>
      <c r="AI24">
        <f t="shared" si="15"/>
        <v>7.7480378373566541E-2</v>
      </c>
      <c r="AJ24">
        <f t="shared" si="15"/>
        <v>7.7480378373566541E-2</v>
      </c>
      <c r="AK24">
        <f t="shared" si="15"/>
        <v>9.6344027617202871E-2</v>
      </c>
      <c r="AL24">
        <f t="shared" si="16"/>
        <v>0.30938234843007406</v>
      </c>
      <c r="AM24" s="7">
        <f t="shared" si="17"/>
        <v>65.440879027994669</v>
      </c>
    </row>
    <row r="25" spans="2:39" x14ac:dyDescent="0.25">
      <c r="B25" s="1">
        <v>21</v>
      </c>
      <c r="C25">
        <f>(13*60)+24</f>
        <v>804</v>
      </c>
      <c r="D25">
        <v>3465.4319999999998</v>
      </c>
      <c r="E25">
        <v>0</v>
      </c>
      <c r="F25">
        <f t="shared" si="3"/>
        <v>3465.4319999999998</v>
      </c>
      <c r="G25">
        <f t="shared" si="0"/>
        <v>0.27805181347154379</v>
      </c>
      <c r="H25">
        <f t="shared" si="4"/>
        <v>3465.1539481865284</v>
      </c>
      <c r="I25" s="5">
        <f t="shared" si="5"/>
        <v>-22.805051813471437</v>
      </c>
      <c r="J25" s="7">
        <f t="shared" si="6"/>
        <v>978068.60294818657</v>
      </c>
      <c r="K25" s="5">
        <v>6</v>
      </c>
      <c r="L25" s="5">
        <v>37</v>
      </c>
      <c r="M25" s="5">
        <v>41.69</v>
      </c>
      <c r="N25" s="8">
        <v>106</v>
      </c>
      <c r="O25" s="8">
        <v>33</v>
      </c>
      <c r="P25" s="8">
        <v>30.66</v>
      </c>
      <c r="Q25" s="9">
        <f t="shared" si="1"/>
        <v>-6.6282472222222228</v>
      </c>
      <c r="R25">
        <f t="shared" si="7"/>
        <v>106.55851666666666</v>
      </c>
      <c r="S25">
        <f t="shared" si="8"/>
        <v>-0.11568473766394605</v>
      </c>
      <c r="T25">
        <v>526</v>
      </c>
      <c r="U25">
        <f t="shared" si="2"/>
        <v>26.673575129533678</v>
      </c>
      <c r="V25">
        <f t="shared" si="9"/>
        <v>499.32642487046633</v>
      </c>
      <c r="W25">
        <f t="shared" si="18"/>
        <v>103.32642487046633</v>
      </c>
      <c r="X25">
        <f t="shared" si="19"/>
        <v>499.84542487046633</v>
      </c>
      <c r="Y25">
        <f t="shared" si="10"/>
        <v>0.64347141097141869</v>
      </c>
      <c r="Z25">
        <f t="shared" si="11"/>
        <v>978100.89384317584</v>
      </c>
      <c r="AA25">
        <f t="shared" si="12"/>
        <v>154.20231357253886</v>
      </c>
      <c r="AB25" s="7">
        <f t="shared" si="13"/>
        <v>121.91141858326534</v>
      </c>
      <c r="AC25">
        <f t="shared" si="14"/>
        <v>55.85247785231347</v>
      </c>
      <c r="AD25" s="1">
        <v>-10</v>
      </c>
      <c r="AE25" s="1">
        <v>5</v>
      </c>
      <c r="AF25" s="1">
        <v>4</v>
      </c>
      <c r="AG25" s="1">
        <v>-11</v>
      </c>
      <c r="AH25">
        <f t="shared" si="15"/>
        <v>0.1632996872780062</v>
      </c>
      <c r="AI25">
        <f t="shared" si="15"/>
        <v>7.7480378373566541E-2</v>
      </c>
      <c r="AJ25">
        <f t="shared" si="15"/>
        <v>5.8077564065738108E-2</v>
      </c>
      <c r="AK25">
        <f t="shared" si="15"/>
        <v>0.1777782835559025</v>
      </c>
      <c r="AL25">
        <f t="shared" si="16"/>
        <v>0.47663591327321331</v>
      </c>
      <c r="AM25" s="7">
        <f t="shared" si="17"/>
        <v>65.892105233253673</v>
      </c>
    </row>
    <row r="26" spans="2:39" x14ac:dyDescent="0.25">
      <c r="B26" s="1">
        <v>22</v>
      </c>
      <c r="C26">
        <f>(13*60)+43</f>
        <v>823</v>
      </c>
      <c r="D26">
        <v>3471.5030000000002</v>
      </c>
      <c r="E26">
        <v>0</v>
      </c>
      <c r="F26">
        <f t="shared" si="3"/>
        <v>3471.5030000000002</v>
      </c>
      <c r="G26">
        <f t="shared" si="0"/>
        <v>0.29498445595859291</v>
      </c>
      <c r="H26">
        <f t="shared" si="4"/>
        <v>3471.2080155440417</v>
      </c>
      <c r="I26" s="5">
        <f t="shared" si="5"/>
        <v>-16.750984455958132</v>
      </c>
      <c r="J26" s="7">
        <f t="shared" si="6"/>
        <v>978074.65701554413</v>
      </c>
      <c r="K26" s="5">
        <v>6</v>
      </c>
      <c r="L26" s="5">
        <v>37</v>
      </c>
      <c r="M26" s="5">
        <v>38.75</v>
      </c>
      <c r="N26" s="8">
        <v>106</v>
      </c>
      <c r="O26" s="8">
        <v>33</v>
      </c>
      <c r="P26" s="8">
        <v>29.62</v>
      </c>
      <c r="Q26" s="9">
        <f t="shared" si="1"/>
        <v>-6.6274305555555557</v>
      </c>
      <c r="R26">
        <f t="shared" si="7"/>
        <v>106.55822777777777</v>
      </c>
      <c r="S26">
        <f t="shared" si="8"/>
        <v>-0.11567048414172142</v>
      </c>
      <c r="T26">
        <v>497</v>
      </c>
      <c r="U26">
        <f t="shared" si="2"/>
        <v>28.297927461139896</v>
      </c>
      <c r="V26">
        <f t="shared" si="9"/>
        <v>468.70207253886008</v>
      </c>
      <c r="W26">
        <f t="shared" si="18"/>
        <v>72.702072538860079</v>
      </c>
      <c r="X26">
        <f t="shared" si="19"/>
        <v>469.22107253886008</v>
      </c>
      <c r="Y26">
        <f t="shared" si="10"/>
        <v>0.60912317579123987</v>
      </c>
      <c r="Z26">
        <f t="shared" si="11"/>
        <v>978100.87689411081</v>
      </c>
      <c r="AA26">
        <f t="shared" si="12"/>
        <v>144.75470087823834</v>
      </c>
      <c r="AB26" s="7">
        <f t="shared" si="13"/>
        <v>118.53482231155414</v>
      </c>
      <c r="AC26">
        <f t="shared" si="14"/>
        <v>52.430528034955955</v>
      </c>
      <c r="AD26" s="1">
        <v>5</v>
      </c>
      <c r="AE26" s="1">
        <v>-9</v>
      </c>
      <c r="AF26" s="1">
        <v>-10</v>
      </c>
      <c r="AG26" s="1">
        <v>6</v>
      </c>
      <c r="AH26">
        <f t="shared" si="15"/>
        <v>7.7480378373566541E-2</v>
      </c>
      <c r="AI26">
        <f t="shared" si="15"/>
        <v>0.14792671082541906</v>
      </c>
      <c r="AJ26">
        <f t="shared" si="15"/>
        <v>0.1632996872780062</v>
      </c>
      <c r="AK26">
        <f t="shared" si="15"/>
        <v>9.6344027617202871E-2</v>
      </c>
      <c r="AL26">
        <f t="shared" si="16"/>
        <v>0.48505080409419465</v>
      </c>
      <c r="AM26" s="7">
        <f t="shared" si="17"/>
        <v>65.980221904901143</v>
      </c>
    </row>
    <row r="27" spans="2:39" x14ac:dyDescent="0.25">
      <c r="B27" s="1">
        <v>23</v>
      </c>
      <c r="C27">
        <f>(13*60)+49</f>
        <v>829</v>
      </c>
      <c r="D27">
        <v>3470.1350000000002</v>
      </c>
      <c r="E27">
        <v>0</v>
      </c>
      <c r="F27">
        <f t="shared" si="3"/>
        <v>3470.1350000000002</v>
      </c>
      <c r="G27">
        <f t="shared" si="0"/>
        <v>0.30033160621766103</v>
      </c>
      <c r="H27">
        <f t="shared" si="4"/>
        <v>3469.8346683937825</v>
      </c>
      <c r="I27" s="5">
        <f t="shared" si="5"/>
        <v>-18.124331606217311</v>
      </c>
      <c r="J27" s="7">
        <f t="shared" si="6"/>
        <v>978073.28366839385</v>
      </c>
      <c r="K27" s="5">
        <v>6</v>
      </c>
      <c r="L27" s="5">
        <v>37</v>
      </c>
      <c r="M27" s="5">
        <v>37.5</v>
      </c>
      <c r="N27" s="8">
        <v>106</v>
      </c>
      <c r="O27" s="8">
        <v>33</v>
      </c>
      <c r="P27" s="8">
        <v>28.63</v>
      </c>
      <c r="Q27" s="9">
        <f t="shared" si="1"/>
        <v>-6.6270833333333341</v>
      </c>
      <c r="R27">
        <f t="shared" si="7"/>
        <v>106.55795277777777</v>
      </c>
      <c r="S27">
        <f t="shared" si="8"/>
        <v>-0.11566442397070756</v>
      </c>
      <c r="T27">
        <v>505</v>
      </c>
      <c r="U27">
        <f t="shared" si="2"/>
        <v>28.810880829015545</v>
      </c>
      <c r="V27">
        <f t="shared" si="9"/>
        <v>476.18911917098444</v>
      </c>
      <c r="W27">
        <f t="shared" si="18"/>
        <v>80.189119170984441</v>
      </c>
      <c r="X27">
        <f t="shared" si="19"/>
        <v>476.70811917098445</v>
      </c>
      <c r="Y27">
        <f t="shared" si="10"/>
        <v>0.61758182393384953</v>
      </c>
      <c r="Z27">
        <f t="shared" si="11"/>
        <v>978100.86968849704</v>
      </c>
      <c r="AA27">
        <f t="shared" si="12"/>
        <v>147.06445476424869</v>
      </c>
      <c r="AB27" s="7">
        <f t="shared" si="13"/>
        <v>119.4784346610586</v>
      </c>
      <c r="AC27">
        <f t="shared" si="14"/>
        <v>53.267126882106211</v>
      </c>
      <c r="AD27" s="1">
        <v>6</v>
      </c>
      <c r="AE27" s="1">
        <v>-10</v>
      </c>
      <c r="AF27" s="1">
        <v>-11</v>
      </c>
      <c r="AG27" s="1">
        <v>5</v>
      </c>
      <c r="AH27">
        <f t="shared" si="15"/>
        <v>9.6344027617202871E-2</v>
      </c>
      <c r="AI27">
        <f t="shared" si="15"/>
        <v>0.1632996872780062</v>
      </c>
      <c r="AJ27">
        <f t="shared" si="15"/>
        <v>0.1777782835559025</v>
      </c>
      <c r="AK27">
        <f t="shared" si="15"/>
        <v>7.7480378373566541E-2</v>
      </c>
      <c r="AL27">
        <f t="shared" si="16"/>
        <v>0.51490237682467821</v>
      </c>
      <c r="AM27" s="7">
        <f t="shared" si="17"/>
        <v>66.108628331843221</v>
      </c>
    </row>
    <row r="28" spans="2:39" x14ac:dyDescent="0.25">
      <c r="B28" s="1">
        <v>24</v>
      </c>
      <c r="C28">
        <f>(13*60)+54</f>
        <v>834</v>
      </c>
      <c r="D28">
        <v>3466.2109999999998</v>
      </c>
      <c r="E28">
        <v>0</v>
      </c>
      <c r="F28">
        <f t="shared" si="3"/>
        <v>3466.2109999999998</v>
      </c>
      <c r="G28">
        <f t="shared" si="0"/>
        <v>0.30478756476688451</v>
      </c>
      <c r="H28">
        <f t="shared" si="4"/>
        <v>3465.9062124352331</v>
      </c>
      <c r="I28" s="5">
        <f t="shared" si="5"/>
        <v>-22.052787564766732</v>
      </c>
      <c r="J28" s="7">
        <f t="shared" si="6"/>
        <v>978069.35521243524</v>
      </c>
      <c r="K28" s="5">
        <v>6</v>
      </c>
      <c r="L28" s="5">
        <v>37</v>
      </c>
      <c r="M28" s="5">
        <v>36.18</v>
      </c>
      <c r="N28" s="8">
        <v>106</v>
      </c>
      <c r="O28" s="8">
        <v>33</v>
      </c>
      <c r="P28" s="8">
        <v>28.44</v>
      </c>
      <c r="Q28" s="9">
        <f t="shared" si="1"/>
        <v>-6.6267166666666668</v>
      </c>
      <c r="R28">
        <f t="shared" si="7"/>
        <v>106.5579</v>
      </c>
      <c r="S28">
        <f t="shared" si="8"/>
        <v>-0.1156580244301169</v>
      </c>
      <c r="T28">
        <v>521</v>
      </c>
      <c r="U28">
        <f t="shared" si="2"/>
        <v>29.238341968911918</v>
      </c>
      <c r="V28">
        <f t="shared" si="9"/>
        <v>491.76165803108807</v>
      </c>
      <c r="W28">
        <f t="shared" si="18"/>
        <v>95.761658031088075</v>
      </c>
      <c r="X28">
        <f t="shared" si="19"/>
        <v>492.28065803108808</v>
      </c>
      <c r="Y28">
        <f t="shared" si="10"/>
        <v>0.63504839136000701</v>
      </c>
      <c r="Z28">
        <f t="shared" si="11"/>
        <v>978100.86207977135</v>
      </c>
      <c r="AA28">
        <f t="shared" si="12"/>
        <v>151.86858300259067</v>
      </c>
      <c r="AB28" s="7">
        <f t="shared" si="13"/>
        <v>120.36171566648139</v>
      </c>
      <c r="AC28">
        <f t="shared" si="14"/>
        <v>55.007194588064763</v>
      </c>
      <c r="AD28" s="1">
        <v>5</v>
      </c>
      <c r="AE28" s="1">
        <v>-9</v>
      </c>
      <c r="AF28" s="1">
        <v>-10</v>
      </c>
      <c r="AG28" s="1">
        <v>6</v>
      </c>
      <c r="AH28">
        <f t="shared" si="15"/>
        <v>7.7480378373566541E-2</v>
      </c>
      <c r="AI28">
        <f t="shared" si="15"/>
        <v>0.14792671082541906</v>
      </c>
      <c r="AJ28">
        <f t="shared" si="15"/>
        <v>0.1632996872780062</v>
      </c>
      <c r="AK28">
        <f t="shared" si="15"/>
        <v>9.6344027617202871E-2</v>
      </c>
      <c r="AL28">
        <f t="shared" si="16"/>
        <v>0.48505080409419465</v>
      </c>
      <c r="AM28" s="7">
        <f t="shared" si="17"/>
        <v>65.204523491150823</v>
      </c>
    </row>
    <row r="29" spans="2:39" x14ac:dyDescent="0.25">
      <c r="B29" s="1">
        <v>25</v>
      </c>
      <c r="C29">
        <f>(14*60)+1</f>
        <v>841</v>
      </c>
      <c r="D29">
        <v>3462.8890000000001</v>
      </c>
      <c r="E29">
        <v>0</v>
      </c>
      <c r="F29">
        <f t="shared" si="3"/>
        <v>3462.8890000000001</v>
      </c>
      <c r="G29">
        <f t="shared" si="0"/>
        <v>0.31102590673579733</v>
      </c>
      <c r="H29">
        <f t="shared" si="4"/>
        <v>3462.5779740932644</v>
      </c>
      <c r="I29" s="5">
        <f t="shared" si="5"/>
        <v>-25.381025906735431</v>
      </c>
      <c r="J29" s="7">
        <f t="shared" si="6"/>
        <v>978066.02697409329</v>
      </c>
      <c r="K29" s="5">
        <v>6</v>
      </c>
      <c r="L29" s="5">
        <v>37</v>
      </c>
      <c r="M29" s="5">
        <v>34.15</v>
      </c>
      <c r="N29" s="8">
        <v>106</v>
      </c>
      <c r="O29" s="8">
        <v>33</v>
      </c>
      <c r="P29" s="8">
        <v>46.18</v>
      </c>
      <c r="Q29" s="9">
        <f t="shared" si="1"/>
        <v>-6.6261527777777784</v>
      </c>
      <c r="R29">
        <f t="shared" si="7"/>
        <v>106.56282777777777</v>
      </c>
      <c r="S29">
        <f t="shared" si="8"/>
        <v>-0.11564818271239038</v>
      </c>
      <c r="T29">
        <v>532</v>
      </c>
      <c r="U29">
        <f t="shared" si="2"/>
        <v>29.836787564766841</v>
      </c>
      <c r="V29">
        <f t="shared" si="9"/>
        <v>502.16321243523316</v>
      </c>
      <c r="W29">
        <f t="shared" si="18"/>
        <v>106.16321243523316</v>
      </c>
      <c r="X29">
        <f t="shared" si="19"/>
        <v>502.68221243523317</v>
      </c>
      <c r="Y29">
        <f t="shared" si="10"/>
        <v>0.64661962132050088</v>
      </c>
      <c r="Z29">
        <f t="shared" si="11"/>
        <v>978100.85037928051</v>
      </c>
      <c r="AA29">
        <f t="shared" si="12"/>
        <v>155.07746253626942</v>
      </c>
      <c r="AB29" s="7">
        <f t="shared" si="13"/>
        <v>120.25405734904166</v>
      </c>
      <c r="AC29">
        <f t="shared" si="14"/>
        <v>56.169459076406731</v>
      </c>
      <c r="AD29" s="1">
        <v>6</v>
      </c>
      <c r="AE29" s="1">
        <v>-8</v>
      </c>
      <c r="AF29" s="1">
        <v>-10</v>
      </c>
      <c r="AG29" s="1">
        <v>7</v>
      </c>
      <c r="AH29">
        <f t="shared" si="15"/>
        <v>9.6344027617202871E-2</v>
      </c>
      <c r="AI29">
        <f t="shared" si="15"/>
        <v>0.13163746491855549</v>
      </c>
      <c r="AJ29">
        <f t="shared" si="15"/>
        <v>0.1632996872780062</v>
      </c>
      <c r="AK29">
        <f t="shared" si="15"/>
        <v>0.11443114505672018</v>
      </c>
      <c r="AL29">
        <f t="shared" si="16"/>
        <v>0.50571232487048468</v>
      </c>
      <c r="AM29" s="7">
        <f t="shared" si="17"/>
        <v>63.943690976184918</v>
      </c>
    </row>
    <row r="30" spans="2:39" x14ac:dyDescent="0.25">
      <c r="B30" s="1">
        <v>26</v>
      </c>
      <c r="C30">
        <f>(14*60)+12</f>
        <v>852</v>
      </c>
      <c r="D30">
        <v>3456.8150000000001</v>
      </c>
      <c r="E30">
        <v>0</v>
      </c>
      <c r="F30">
        <f t="shared" si="3"/>
        <v>3456.8150000000001</v>
      </c>
      <c r="G30">
        <f t="shared" si="0"/>
        <v>0.32082901554408894</v>
      </c>
      <c r="H30">
        <f t="shared" si="4"/>
        <v>3456.4941709844561</v>
      </c>
      <c r="I30" s="5">
        <f t="shared" si="5"/>
        <v>-31.464829015543728</v>
      </c>
      <c r="J30" s="7">
        <f t="shared" si="6"/>
        <v>978059.94317098451</v>
      </c>
      <c r="K30" s="5">
        <v>6</v>
      </c>
      <c r="L30" s="5">
        <v>37</v>
      </c>
      <c r="M30" s="5">
        <v>32.619999999999997</v>
      </c>
      <c r="N30" s="8">
        <v>106</v>
      </c>
      <c r="O30" s="8">
        <v>33</v>
      </c>
      <c r="P30" s="8">
        <v>44.56</v>
      </c>
      <c r="Q30" s="9">
        <f t="shared" si="1"/>
        <v>-6.6257277777777785</v>
      </c>
      <c r="R30">
        <f t="shared" si="7"/>
        <v>106.56237777777777</v>
      </c>
      <c r="S30">
        <f t="shared" si="8"/>
        <v>-0.11564076506306942</v>
      </c>
      <c r="T30">
        <v>559</v>
      </c>
      <c r="U30">
        <f t="shared" si="2"/>
        <v>30.777202072538859</v>
      </c>
      <c r="V30">
        <f t="shared" si="9"/>
        <v>528.2227979274611</v>
      </c>
      <c r="W30">
        <f t="shared" si="18"/>
        <v>132.2227979274611</v>
      </c>
      <c r="X30">
        <f t="shared" si="19"/>
        <v>528.74179792746111</v>
      </c>
      <c r="Y30">
        <f t="shared" si="10"/>
        <v>0.67527405889251746</v>
      </c>
      <c r="Z30">
        <f t="shared" si="11"/>
        <v>978100.84156133025</v>
      </c>
      <c r="AA30">
        <f t="shared" si="12"/>
        <v>163.11684466062175</v>
      </c>
      <c r="AB30" s="7">
        <f t="shared" si="13"/>
        <v>122.21845431488069</v>
      </c>
      <c r="AC30">
        <f t="shared" si="14"/>
        <v>59.081344129515536</v>
      </c>
      <c r="AD30" s="1">
        <v>5</v>
      </c>
      <c r="AE30" s="1">
        <v>-9</v>
      </c>
      <c r="AF30" s="1">
        <v>-8</v>
      </c>
      <c r="AG30" s="1">
        <v>-5</v>
      </c>
      <c r="AH30">
        <f t="shared" si="15"/>
        <v>7.7480378373566541E-2</v>
      </c>
      <c r="AI30">
        <f t="shared" si="15"/>
        <v>0.14792671082541906</v>
      </c>
      <c r="AJ30">
        <f t="shared" si="15"/>
        <v>0.13163746491855549</v>
      </c>
      <c r="AK30">
        <f t="shared" si="15"/>
        <v>7.7480378373566541E-2</v>
      </c>
      <c r="AL30">
        <f t="shared" si="16"/>
        <v>0.43452493249110763</v>
      </c>
      <c r="AM30" s="7">
        <f t="shared" si="17"/>
        <v>62.896361058963741</v>
      </c>
    </row>
    <row r="31" spans="2:39" x14ac:dyDescent="0.25">
      <c r="B31" s="6" t="s">
        <v>3</v>
      </c>
      <c r="C31">
        <f>(14*60)+38</f>
        <v>878</v>
      </c>
      <c r="D31">
        <v>3488.3029999999999</v>
      </c>
      <c r="E31">
        <v>0</v>
      </c>
      <c r="F31">
        <f t="shared" si="3"/>
        <v>3488.3029999999999</v>
      </c>
      <c r="G31">
        <f t="shared" si="0"/>
        <v>0.34400000000005093</v>
      </c>
      <c r="H31">
        <f t="shared" si="4"/>
        <v>3487.9589999999998</v>
      </c>
      <c r="I31" s="5">
        <f t="shared" si="5"/>
        <v>0</v>
      </c>
      <c r="J31" s="7">
        <f t="shared" si="6"/>
        <v>978091.40800000005</v>
      </c>
      <c r="K31" s="5">
        <v>6</v>
      </c>
      <c r="L31" s="5">
        <v>38</v>
      </c>
      <c r="M31" s="5">
        <v>26.93</v>
      </c>
      <c r="N31" s="8">
        <v>106</v>
      </c>
      <c r="O31" s="8">
        <v>33</v>
      </c>
      <c r="P31" s="8">
        <v>47.11</v>
      </c>
      <c r="Q31" s="9">
        <f t="shared" si="1"/>
        <v>-6.6408138888888883</v>
      </c>
      <c r="R31">
        <f t="shared" si="7"/>
        <v>106.5630861111111</v>
      </c>
      <c r="S31">
        <f t="shared" si="8"/>
        <v>-0.11590406737327998</v>
      </c>
      <c r="T31">
        <v>429</v>
      </c>
      <c r="U31">
        <f t="shared" si="2"/>
        <v>33</v>
      </c>
      <c r="V31">
        <f t="shared" si="9"/>
        <v>396</v>
      </c>
      <c r="W31">
        <f t="shared" si="18"/>
        <v>0</v>
      </c>
      <c r="X31">
        <v>396.51900000000001</v>
      </c>
      <c r="Y31">
        <f t="shared" si="10"/>
        <v>0.52492729067563015</v>
      </c>
      <c r="Z31">
        <f t="shared" si="11"/>
        <v>978101.15490983333</v>
      </c>
      <c r="AA31">
        <f t="shared" si="12"/>
        <v>122.3261115</v>
      </c>
      <c r="AB31" s="7">
        <f t="shared" si="13"/>
        <v>112.57920166671963</v>
      </c>
      <c r="AC31">
        <f t="shared" si="14"/>
        <v>44.306834800499999</v>
      </c>
      <c r="AD31" s="18">
        <v>3</v>
      </c>
      <c r="AE31" s="18">
        <v>5</v>
      </c>
      <c r="AF31" s="18">
        <v>3</v>
      </c>
      <c r="AG31" s="18">
        <v>-2</v>
      </c>
      <c r="AH31">
        <f t="shared" si="15"/>
        <v>3.8655831353907356E-2</v>
      </c>
      <c r="AI31">
        <f t="shared" si="15"/>
        <v>7.7480378373566541E-2</v>
      </c>
      <c r="AJ31">
        <f t="shared" si="15"/>
        <v>3.8655831353907356E-2</v>
      </c>
      <c r="AK31">
        <f t="shared" si="15"/>
        <v>2.0384653162369731E-2</v>
      </c>
      <c r="AL31">
        <f t="shared" si="16"/>
        <v>0.17517669424375099</v>
      </c>
      <c r="AM31" s="7">
        <f t="shared" si="17"/>
        <v>67.922616269787738</v>
      </c>
    </row>
  </sheetData>
  <mergeCells count="29">
    <mergeCell ref="AM1:AM3"/>
    <mergeCell ref="K2:M2"/>
    <mergeCell ref="N2:P2"/>
    <mergeCell ref="Q2:Q3"/>
    <mergeCell ref="R2:R3"/>
    <mergeCell ref="AA1:AA3"/>
    <mergeCell ref="AB1:AB3"/>
    <mergeCell ref="AC1:AC3"/>
    <mergeCell ref="AD1:AG2"/>
    <mergeCell ref="AH1:AK2"/>
    <mergeCell ref="AL1:AL3"/>
    <mergeCell ref="T1:T2"/>
    <mergeCell ref="U1:U2"/>
    <mergeCell ref="V1:V2"/>
    <mergeCell ref="W1:W2"/>
    <mergeCell ref="Y1:Y3"/>
    <mergeCell ref="Z1:Z3"/>
    <mergeCell ref="G1:G2"/>
    <mergeCell ref="H1:H2"/>
    <mergeCell ref="I1:I3"/>
    <mergeCell ref="J1:J2"/>
    <mergeCell ref="K1:R1"/>
    <mergeCell ref="S1:S2"/>
    <mergeCell ref="F1:F2"/>
    <mergeCell ref="A1:A3"/>
    <mergeCell ref="B1:B3"/>
    <mergeCell ref="C1:C2"/>
    <mergeCell ref="D1:D3"/>
    <mergeCell ref="E1:E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"/>
  <sheetViews>
    <sheetView tabSelected="1" topLeftCell="D1" zoomScale="75" zoomScaleNormal="75" workbookViewId="0">
      <selection activeCell="F15" sqref="F15"/>
    </sheetView>
  </sheetViews>
  <sheetFormatPr defaultRowHeight="15" x14ac:dyDescent="0.25"/>
  <cols>
    <col min="10" max="10" width="18.42578125" bestFit="1" customWidth="1"/>
    <col min="11" max="12" width="10.28515625" customWidth="1"/>
    <col min="17" max="17" width="16.42578125" customWidth="1"/>
    <col min="18" max="18" width="16.28515625" bestFit="1" customWidth="1"/>
    <col min="19" max="19" width="15.85546875" customWidth="1"/>
    <col min="20" max="20" width="12.5703125" bestFit="1" customWidth="1"/>
    <col min="21" max="21" width="12.5703125" customWidth="1"/>
    <col min="22" max="23" width="9.85546875" customWidth="1"/>
    <col min="28" max="28" width="10.5703125" bestFit="1" customWidth="1"/>
  </cols>
  <sheetData>
    <row r="1" spans="1:39" x14ac:dyDescent="0.25">
      <c r="A1" s="22" t="s">
        <v>2</v>
      </c>
      <c r="B1" s="22" t="s">
        <v>0</v>
      </c>
      <c r="C1" s="20" t="s">
        <v>4</v>
      </c>
      <c r="D1" s="22" t="s">
        <v>6</v>
      </c>
      <c r="E1" s="20" t="s">
        <v>7</v>
      </c>
      <c r="F1" s="20" t="s">
        <v>9</v>
      </c>
      <c r="G1" s="20" t="s">
        <v>7</v>
      </c>
      <c r="H1" s="20" t="s">
        <v>12</v>
      </c>
      <c r="I1" s="22" t="s">
        <v>13</v>
      </c>
      <c r="J1" s="23" t="s">
        <v>14</v>
      </c>
      <c r="K1" s="26" t="s">
        <v>15</v>
      </c>
      <c r="L1" s="26"/>
      <c r="M1" s="26"/>
      <c r="N1" s="26"/>
      <c r="O1" s="26"/>
      <c r="P1" s="26"/>
      <c r="Q1" s="26"/>
      <c r="R1" s="26"/>
      <c r="S1" s="20" t="s">
        <v>21</v>
      </c>
      <c r="T1" s="20" t="s">
        <v>26</v>
      </c>
      <c r="U1" s="20" t="s">
        <v>12</v>
      </c>
      <c r="V1" s="20" t="s">
        <v>23</v>
      </c>
      <c r="W1" s="20" t="s">
        <v>25</v>
      </c>
      <c r="X1" s="14" t="b">
        <v>1</v>
      </c>
      <c r="Y1" s="22" t="s">
        <v>28</v>
      </c>
      <c r="Z1" s="22" t="s">
        <v>29</v>
      </c>
      <c r="AA1" s="22" t="s">
        <v>30</v>
      </c>
      <c r="AB1" s="22" t="s">
        <v>31</v>
      </c>
      <c r="AC1" s="22" t="s">
        <v>32</v>
      </c>
      <c r="AD1" s="22" t="s">
        <v>37</v>
      </c>
      <c r="AE1" s="22"/>
      <c r="AF1" s="22"/>
      <c r="AG1" s="22"/>
      <c r="AH1" s="22" t="s">
        <v>38</v>
      </c>
      <c r="AI1" s="22"/>
      <c r="AJ1" s="22"/>
      <c r="AK1" s="22"/>
      <c r="AL1" s="22" t="s">
        <v>39</v>
      </c>
      <c r="AM1" s="22" t="s">
        <v>40</v>
      </c>
    </row>
    <row r="2" spans="1:39" x14ac:dyDescent="0.25">
      <c r="A2" s="22"/>
      <c r="B2" s="22"/>
      <c r="C2" s="21"/>
      <c r="D2" s="22"/>
      <c r="E2" s="21"/>
      <c r="F2" s="21"/>
      <c r="G2" s="21"/>
      <c r="H2" s="21"/>
      <c r="I2" s="22"/>
      <c r="J2" s="24"/>
      <c r="K2" s="25" t="s">
        <v>16</v>
      </c>
      <c r="L2" s="25"/>
      <c r="M2" s="25"/>
      <c r="N2" s="25" t="s">
        <v>17</v>
      </c>
      <c r="O2" s="25"/>
      <c r="P2" s="25"/>
      <c r="Q2" s="25" t="s">
        <v>16</v>
      </c>
      <c r="R2" s="25" t="s">
        <v>17</v>
      </c>
      <c r="S2" s="21"/>
      <c r="T2" s="21"/>
      <c r="U2" s="21"/>
      <c r="V2" s="21"/>
      <c r="W2" s="21"/>
      <c r="X2" s="15" t="s">
        <v>23</v>
      </c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</row>
    <row r="3" spans="1:39" x14ac:dyDescent="0.25">
      <c r="A3" s="22"/>
      <c r="B3" s="22"/>
      <c r="C3" s="11" t="s">
        <v>5</v>
      </c>
      <c r="D3" s="22"/>
      <c r="E3" s="11" t="s">
        <v>8</v>
      </c>
      <c r="F3" s="12" t="s">
        <v>11</v>
      </c>
      <c r="G3" s="11" t="s">
        <v>12</v>
      </c>
      <c r="H3" s="11" t="s">
        <v>10</v>
      </c>
      <c r="I3" s="22"/>
      <c r="J3" s="13">
        <v>978091.40800000005</v>
      </c>
      <c r="K3" s="10" t="s">
        <v>18</v>
      </c>
      <c r="L3" s="10" t="s">
        <v>19</v>
      </c>
      <c r="M3" s="10" t="s">
        <v>20</v>
      </c>
      <c r="N3" s="10" t="s">
        <v>18</v>
      </c>
      <c r="O3" s="10" t="s">
        <v>19</v>
      </c>
      <c r="P3" s="10" t="s">
        <v>20</v>
      </c>
      <c r="Q3" s="25"/>
      <c r="R3" s="25"/>
      <c r="S3" s="11" t="s">
        <v>22</v>
      </c>
      <c r="T3" s="11" t="s">
        <v>27</v>
      </c>
      <c r="U3" s="11" t="s">
        <v>23</v>
      </c>
      <c r="V3" s="11" t="s">
        <v>11</v>
      </c>
      <c r="W3" s="11" t="s">
        <v>23</v>
      </c>
      <c r="X3" s="11" t="s">
        <v>24</v>
      </c>
      <c r="Y3" s="22"/>
      <c r="Z3" s="22"/>
      <c r="AA3" s="22"/>
      <c r="AB3" s="22"/>
      <c r="AC3" s="22"/>
      <c r="AD3" s="10" t="s">
        <v>33</v>
      </c>
      <c r="AE3" s="10" t="s">
        <v>34</v>
      </c>
      <c r="AF3" s="10" t="s">
        <v>35</v>
      </c>
      <c r="AG3" s="10" t="s">
        <v>36</v>
      </c>
      <c r="AH3" s="10" t="s">
        <v>33</v>
      </c>
      <c r="AI3" s="10" t="s">
        <v>34</v>
      </c>
      <c r="AJ3" s="10" t="s">
        <v>35</v>
      </c>
      <c r="AK3" s="10" t="s">
        <v>36</v>
      </c>
      <c r="AL3" s="22"/>
      <c r="AM3" s="22"/>
    </row>
    <row r="4" spans="1:39" x14ac:dyDescent="0.25">
      <c r="B4" s="1" t="s">
        <v>3</v>
      </c>
      <c r="C4" s="16">
        <f>(8*60)+34</f>
        <v>514</v>
      </c>
      <c r="D4">
        <v>3488.7049999999999</v>
      </c>
      <c r="E4">
        <v>0</v>
      </c>
      <c r="F4">
        <f>D4+E4</f>
        <v>3488.7049999999999</v>
      </c>
      <c r="G4">
        <f t="shared" ref="G4:G32" si="0">(($F$32-$F$4)/($C$32-$C$4))*(C4-$C$4)</f>
        <v>0</v>
      </c>
      <c r="H4">
        <f>F4-G4</f>
        <v>3488.7049999999999</v>
      </c>
      <c r="I4" s="5">
        <f>H4-$H$4</f>
        <v>0</v>
      </c>
      <c r="J4" s="7">
        <f>I4+$J$3</f>
        <v>978091.40800000005</v>
      </c>
      <c r="K4" s="5">
        <v>6</v>
      </c>
      <c r="L4" s="5">
        <v>38</v>
      </c>
      <c r="M4" s="5">
        <v>26.55</v>
      </c>
      <c r="N4" s="8">
        <v>106</v>
      </c>
      <c r="O4" s="8">
        <v>33</v>
      </c>
      <c r="P4" s="8">
        <v>47.33</v>
      </c>
      <c r="Q4" s="9">
        <f t="shared" ref="Q4:Q32" si="1">-(K4+(L4/60)+(M4/3600))</f>
        <v>-6.6407083333333325</v>
      </c>
      <c r="R4">
        <f>(N4+(O4/60)+(P4/3600))</f>
        <v>106.56314722222221</v>
      </c>
      <c r="S4">
        <f>RADIANS(Q4)</f>
        <v>-0.11590222508129176</v>
      </c>
      <c r="T4" s="1">
        <v>433</v>
      </c>
      <c r="U4">
        <f t="shared" ref="U4:U32" si="2">(T$32-T$4)*(C4-C$4)/(C$32-C$4)</f>
        <v>0</v>
      </c>
      <c r="V4">
        <f>T4-U4</f>
        <v>433</v>
      </c>
      <c r="W4">
        <f>V4-V$4</f>
        <v>0</v>
      </c>
      <c r="X4">
        <v>396.51900000000001</v>
      </c>
      <c r="Y4">
        <f>(0.0004462*X4/0.3048)-(0.00000003282*(X4^2)/(0.3048^2))+(0.00000000000000127*(X4^3)/(0.3048^3))</f>
        <v>0.52492729067563015</v>
      </c>
      <c r="Z4">
        <f>978031.8*(1+0.0053024*(SIN(S4))^2)+0.0000058*(SIN(2*S4))^2</f>
        <v>978101.15271494316</v>
      </c>
      <c r="AA4">
        <f>0.3085*X4</f>
        <v>122.3261115</v>
      </c>
      <c r="AB4" s="7">
        <f>J4-Z4+AA4</f>
        <v>112.58139655688998</v>
      </c>
      <c r="AC4">
        <f>0.04185*2.67*X4</f>
        <v>44.306834800499999</v>
      </c>
      <c r="AD4" s="19">
        <v>3</v>
      </c>
      <c r="AE4" s="19">
        <v>5</v>
      </c>
      <c r="AF4" s="19">
        <v>3</v>
      </c>
      <c r="AG4" s="19">
        <v>-2</v>
      </c>
      <c r="AH4">
        <f>0.04191*(2.67/4)*((20-2)+SQRT((2^2+AD4^2))-SQRT((20^2+AD4^2)))</f>
        <v>3.8655831353907356E-2</v>
      </c>
      <c r="AI4">
        <f>0.04191*(2.67/4)*((20-2)+SQRT((2^2+AE4^2))-SQRT((20^2+AE4^2)))</f>
        <v>7.7480378373566541E-2</v>
      </c>
      <c r="AJ4">
        <f>0.04191*(2.67/4)*((20-2)+SQRT((2^2+AF4^2))-SQRT((20^2+AF4^2)))</f>
        <v>3.8655831353907356E-2</v>
      </c>
      <c r="AK4">
        <f>0.04191*(2.67/4)*((20-2)+SQRT((2^2+AG4^2))-SQRT((20^2+AG4^2)))</f>
        <v>2.0384653162369731E-2</v>
      </c>
      <c r="AL4">
        <f>SUM(AH4:AK4)</f>
        <v>0.17517669424375099</v>
      </c>
      <c r="AM4" s="7">
        <f>AB4-AC4+AL4-Y4</f>
        <v>67.924811159958097</v>
      </c>
    </row>
    <row r="5" spans="1:39" x14ac:dyDescent="0.25">
      <c r="B5" s="1">
        <v>27</v>
      </c>
      <c r="C5" s="16">
        <f>(9*60)+5</f>
        <v>545</v>
      </c>
      <c r="D5">
        <v>3477.145</v>
      </c>
      <c r="E5">
        <v>0</v>
      </c>
      <c r="F5">
        <f t="shared" ref="F5:F32" si="3">D5+E5</f>
        <v>3477.145</v>
      </c>
      <c r="G5">
        <f t="shared" si="0"/>
        <v>1.0224561403514312E-2</v>
      </c>
      <c r="H5">
        <f t="shared" ref="H5:H32" si="4">F5-G5</f>
        <v>3477.1347754385965</v>
      </c>
      <c r="I5" s="5">
        <f t="shared" ref="I5:I32" si="5">H5-$H$4</f>
        <v>-11.570224561403393</v>
      </c>
      <c r="J5" s="7">
        <f t="shared" ref="J5:J32" si="6">I5+$J$3</f>
        <v>978079.83777543867</v>
      </c>
      <c r="K5" s="5">
        <v>6</v>
      </c>
      <c r="L5" s="5">
        <v>38</v>
      </c>
      <c r="M5" s="5">
        <v>41</v>
      </c>
      <c r="N5" s="8">
        <v>106</v>
      </c>
      <c r="O5" s="8">
        <v>33</v>
      </c>
      <c r="P5" s="8">
        <v>34.32</v>
      </c>
      <c r="Q5" s="9">
        <f t="shared" si="1"/>
        <v>-6.6447222222222218</v>
      </c>
      <c r="R5">
        <f t="shared" ref="R5:R32" si="7">(N5+(O5/60)+(P5/3600))</f>
        <v>106.55953333333333</v>
      </c>
      <c r="S5">
        <f t="shared" ref="S5:S32" si="8">RADIANS(Q5)</f>
        <v>-0.11597228065821209</v>
      </c>
      <c r="T5" s="1">
        <v>481</v>
      </c>
      <c r="U5">
        <f t="shared" si="2"/>
        <v>-1.3052631578947369</v>
      </c>
      <c r="V5">
        <f t="shared" ref="V5:V32" si="9">T5-U5</f>
        <v>482.30526315789473</v>
      </c>
      <c r="W5">
        <f>V5-V$4</f>
        <v>49.305263157894728</v>
      </c>
      <c r="X5">
        <f>X$4+W5</f>
        <v>445.82426315789473</v>
      </c>
      <c r="Y5">
        <f t="shared" ref="Y5:Y32" si="10">(0.0004462*X5/0.3048)-(0.00000003282*(X5^2)/(0.3048^2))+(0.00000000000000127*(X5^3)/(0.3048^3))</f>
        <v>0.58243491596619301</v>
      </c>
      <c r="Z5">
        <f t="shared" ref="Z5:Z32" si="11">978031.8*(1+0.0053024*(SIN(S5))^2)+0.0000058*(SIN(2*S5))^2</f>
        <v>978101.23620264069</v>
      </c>
      <c r="AA5">
        <f t="shared" ref="AA5:AA32" si="12">0.3085*X5</f>
        <v>137.53678518421052</v>
      </c>
      <c r="AB5" s="7">
        <f t="shared" ref="AB5:AB32" si="13">J5-Z5+AA5</f>
        <v>116.13835798219347</v>
      </c>
      <c r="AC5">
        <f t="shared" ref="AC5:AC32" si="14">0.04185*2.67*X5</f>
        <v>49.816180253131577</v>
      </c>
      <c r="AD5" s="2">
        <v>5</v>
      </c>
      <c r="AE5" s="2">
        <v>-4</v>
      </c>
      <c r="AF5" s="2">
        <v>-5</v>
      </c>
      <c r="AG5" s="2">
        <v>-4</v>
      </c>
      <c r="AH5">
        <f t="shared" ref="AH5:AK32" si="15">0.04191*(2.67/4)*((20-2)+SQRT((2^2+AD5^2))-SQRT((20^2+AD5^2)))</f>
        <v>7.7480378373566541E-2</v>
      </c>
      <c r="AI5">
        <f t="shared" si="15"/>
        <v>5.8077564065738108E-2</v>
      </c>
      <c r="AJ5">
        <f t="shared" si="15"/>
        <v>7.7480378373566541E-2</v>
      </c>
      <c r="AK5">
        <f t="shared" si="15"/>
        <v>5.8077564065738108E-2</v>
      </c>
      <c r="AL5">
        <f>SUM(AH5:AK5)</f>
        <v>0.27111588487860927</v>
      </c>
      <c r="AM5" s="7">
        <f>AB5-AC5+AL5-Y5</f>
        <v>66.010858697974314</v>
      </c>
    </row>
    <row r="6" spans="1:39" x14ac:dyDescent="0.25">
      <c r="B6" s="1">
        <v>26</v>
      </c>
      <c r="C6" s="16">
        <f>(9*60)+16</f>
        <v>556</v>
      </c>
      <c r="D6">
        <v>3474.81</v>
      </c>
      <c r="E6">
        <v>0</v>
      </c>
      <c r="F6">
        <f t="shared" si="3"/>
        <v>3474.81</v>
      </c>
      <c r="G6">
        <f t="shared" si="0"/>
        <v>1.3852631578954874E-2</v>
      </c>
      <c r="H6">
        <f t="shared" si="4"/>
        <v>3474.7961473684209</v>
      </c>
      <c r="I6" s="5">
        <f t="shared" si="5"/>
        <v>-13.908852631579066</v>
      </c>
      <c r="J6" s="7">
        <f t="shared" si="6"/>
        <v>978077.49914736848</v>
      </c>
      <c r="K6" s="5">
        <v>6</v>
      </c>
      <c r="L6" s="5">
        <v>38</v>
      </c>
      <c r="M6" s="5">
        <v>39.69</v>
      </c>
      <c r="N6" s="8">
        <v>106</v>
      </c>
      <c r="O6" s="8">
        <v>33</v>
      </c>
      <c r="P6" s="8">
        <v>33.68</v>
      </c>
      <c r="Q6" s="9">
        <f t="shared" si="1"/>
        <v>-6.6443583333333329</v>
      </c>
      <c r="R6">
        <f t="shared" si="7"/>
        <v>106.55935555555556</v>
      </c>
      <c r="S6">
        <f t="shared" si="8"/>
        <v>-0.11596592959898956</v>
      </c>
      <c r="T6" s="1">
        <v>489</v>
      </c>
      <c r="U6">
        <f t="shared" si="2"/>
        <v>-1.7684210526315789</v>
      </c>
      <c r="V6">
        <f t="shared" si="9"/>
        <v>490.7684210526316</v>
      </c>
      <c r="W6">
        <f>V6-V$4</f>
        <v>57.768421052631595</v>
      </c>
      <c r="X6">
        <f>X$4+W6</f>
        <v>454.2874210526316</v>
      </c>
      <c r="Y6">
        <f t="shared" si="10"/>
        <v>0.5921333070819621</v>
      </c>
      <c r="Z6">
        <f t="shared" si="11"/>
        <v>978101.22863181774</v>
      </c>
      <c r="AA6">
        <f t="shared" si="12"/>
        <v>140.14766939473685</v>
      </c>
      <c r="AB6" s="7">
        <f t="shared" si="13"/>
        <v>116.41818494547971</v>
      </c>
      <c r="AC6">
        <f t="shared" si="14"/>
        <v>50.761849284710522</v>
      </c>
      <c r="AD6" s="2">
        <v>5</v>
      </c>
      <c r="AE6" s="2">
        <v>-6</v>
      </c>
      <c r="AF6" s="2">
        <v>-7</v>
      </c>
      <c r="AG6" s="2">
        <v>4</v>
      </c>
      <c r="AH6">
        <f t="shared" si="15"/>
        <v>7.7480378373566541E-2</v>
      </c>
      <c r="AI6">
        <f t="shared" si="15"/>
        <v>9.6344027617202871E-2</v>
      </c>
      <c r="AJ6">
        <f t="shared" si="15"/>
        <v>0.11443114505672018</v>
      </c>
      <c r="AK6">
        <f t="shared" si="15"/>
        <v>5.8077564065738108E-2</v>
      </c>
      <c r="AL6">
        <f t="shared" ref="AL6:AL32" si="16">SUM(AH6:AK6)</f>
        <v>0.34633311511322773</v>
      </c>
      <c r="AM6" s="7">
        <f t="shared" ref="AM6:AM32" si="17">AB6-AC6+AL6-Y6</f>
        <v>65.410535468800447</v>
      </c>
    </row>
    <row r="7" spans="1:39" x14ac:dyDescent="0.25">
      <c r="B7" s="1">
        <v>25</v>
      </c>
      <c r="C7" s="16">
        <f>(9*60)+2</f>
        <v>542</v>
      </c>
      <c r="D7">
        <v>3474.6959999999999</v>
      </c>
      <c r="E7">
        <v>0</v>
      </c>
      <c r="F7">
        <f t="shared" si="3"/>
        <v>3474.6959999999999</v>
      </c>
      <c r="G7">
        <f t="shared" si="0"/>
        <v>9.2350877193032484E-3</v>
      </c>
      <c r="H7">
        <f t="shared" si="4"/>
        <v>3474.6867649122805</v>
      </c>
      <c r="I7" s="5">
        <f t="shared" si="5"/>
        <v>-14.018235087719404</v>
      </c>
      <c r="J7" s="7">
        <f t="shared" si="6"/>
        <v>978077.38976491231</v>
      </c>
      <c r="K7" s="5">
        <v>6</v>
      </c>
      <c r="L7" s="5">
        <v>38</v>
      </c>
      <c r="M7" s="5">
        <v>38.15</v>
      </c>
      <c r="N7" s="8">
        <v>106</v>
      </c>
      <c r="O7" s="8">
        <v>33</v>
      </c>
      <c r="P7" s="8">
        <v>32.86</v>
      </c>
      <c r="Q7" s="9">
        <f t="shared" si="1"/>
        <v>-6.6439305555555555</v>
      </c>
      <c r="R7">
        <f t="shared" si="7"/>
        <v>106.55912777777777</v>
      </c>
      <c r="S7">
        <f t="shared" si="8"/>
        <v>-0.11595846346830048</v>
      </c>
      <c r="T7" s="1">
        <v>489</v>
      </c>
      <c r="U7">
        <f t="shared" si="2"/>
        <v>-1.1789473684210525</v>
      </c>
      <c r="V7">
        <f t="shared" si="9"/>
        <v>490.17894736842106</v>
      </c>
      <c r="W7">
        <f t="shared" ref="W7:W32" si="18">V7-V$4</f>
        <v>57.178947368421063</v>
      </c>
      <c r="X7">
        <f t="shared" ref="X7:X31" si="19">X$4+W7</f>
        <v>453.69794736842107</v>
      </c>
      <c r="Y7">
        <f t="shared" si="10"/>
        <v>0.59145943662086053</v>
      </c>
      <c r="Z7">
        <f t="shared" si="11"/>
        <v>978101.21973228711</v>
      </c>
      <c r="AA7">
        <f t="shared" si="12"/>
        <v>139.9658167631579</v>
      </c>
      <c r="AB7" s="7">
        <f t="shared" si="13"/>
        <v>116.13584938836092</v>
      </c>
      <c r="AC7">
        <f t="shared" si="14"/>
        <v>50.695981789973679</v>
      </c>
      <c r="AD7" s="2">
        <v>-3</v>
      </c>
      <c r="AE7" s="2">
        <v>3</v>
      </c>
      <c r="AF7" s="2">
        <v>2</v>
      </c>
      <c r="AG7" s="2">
        <v>-2</v>
      </c>
      <c r="AH7">
        <f t="shared" si="15"/>
        <v>3.8655831353907356E-2</v>
      </c>
      <c r="AI7">
        <f t="shared" si="15"/>
        <v>3.8655831353907356E-2</v>
      </c>
      <c r="AJ7">
        <f t="shared" si="15"/>
        <v>2.0384653162369731E-2</v>
      </c>
      <c r="AK7">
        <f t="shared" si="15"/>
        <v>2.0384653162369731E-2</v>
      </c>
      <c r="AL7">
        <f t="shared" si="16"/>
        <v>0.11808096903255418</v>
      </c>
      <c r="AM7" s="7">
        <f t="shared" si="17"/>
        <v>64.966489130798934</v>
      </c>
    </row>
    <row r="8" spans="1:39" x14ac:dyDescent="0.25">
      <c r="B8" s="1">
        <v>24</v>
      </c>
      <c r="C8" s="16">
        <f>(9*60)+26</f>
        <v>566</v>
      </c>
      <c r="D8">
        <v>3476.7370000000001</v>
      </c>
      <c r="E8">
        <v>0</v>
      </c>
      <c r="F8">
        <f t="shared" si="3"/>
        <v>3476.7370000000001</v>
      </c>
      <c r="G8">
        <f t="shared" si="0"/>
        <v>1.7150877192991749E-2</v>
      </c>
      <c r="H8">
        <f t="shared" si="4"/>
        <v>3476.7198491228069</v>
      </c>
      <c r="I8" s="5">
        <f t="shared" si="5"/>
        <v>-11.985150877193064</v>
      </c>
      <c r="J8" s="7">
        <f t="shared" si="6"/>
        <v>978079.4228491229</v>
      </c>
      <c r="K8" s="5">
        <v>6</v>
      </c>
      <c r="L8" s="5">
        <v>38</v>
      </c>
      <c r="M8" s="5">
        <v>36.229999999999997</v>
      </c>
      <c r="N8" s="8">
        <v>106</v>
      </c>
      <c r="O8" s="8">
        <v>33</v>
      </c>
      <c r="P8" s="8">
        <v>32.28</v>
      </c>
      <c r="Q8" s="9">
        <f t="shared" si="1"/>
        <v>-6.6433972222222222</v>
      </c>
      <c r="R8">
        <f t="shared" si="7"/>
        <v>106.55896666666666</v>
      </c>
      <c r="S8">
        <f t="shared" si="8"/>
        <v>-0.11594915504562318</v>
      </c>
      <c r="T8" s="1">
        <v>481</v>
      </c>
      <c r="U8">
        <f t="shared" si="2"/>
        <v>-2.1894736842105265</v>
      </c>
      <c r="V8">
        <f t="shared" si="9"/>
        <v>483.18947368421055</v>
      </c>
      <c r="W8">
        <f t="shared" si="18"/>
        <v>50.189473684210554</v>
      </c>
      <c r="X8">
        <f t="shared" si="19"/>
        <v>446.70847368421056</v>
      </c>
      <c r="Y8">
        <f t="shared" si="10"/>
        <v>0.58345054771345162</v>
      </c>
      <c r="Z8">
        <f t="shared" si="11"/>
        <v>978101.20863755653</v>
      </c>
      <c r="AA8">
        <f t="shared" si="12"/>
        <v>137.80956413157895</v>
      </c>
      <c r="AB8" s="7">
        <f t="shared" si="13"/>
        <v>116.02377569795266</v>
      </c>
      <c r="AC8">
        <f t="shared" si="14"/>
        <v>49.914981495236844</v>
      </c>
      <c r="AD8" s="2">
        <v>-5</v>
      </c>
      <c r="AE8" s="2">
        <v>4</v>
      </c>
      <c r="AF8" s="2">
        <v>5</v>
      </c>
      <c r="AG8" s="2">
        <v>-3</v>
      </c>
      <c r="AH8">
        <f t="shared" si="15"/>
        <v>7.7480378373566541E-2</v>
      </c>
      <c r="AI8">
        <f t="shared" si="15"/>
        <v>5.8077564065738108E-2</v>
      </c>
      <c r="AJ8">
        <f t="shared" si="15"/>
        <v>7.7480378373566541E-2</v>
      </c>
      <c r="AK8">
        <f t="shared" si="15"/>
        <v>3.8655831353907356E-2</v>
      </c>
      <c r="AL8">
        <f t="shared" si="16"/>
        <v>0.25169415216677854</v>
      </c>
      <c r="AM8" s="7">
        <f t="shared" si="17"/>
        <v>65.777037807169137</v>
      </c>
    </row>
    <row r="9" spans="1:39" x14ac:dyDescent="0.25">
      <c r="B9" s="1">
        <v>23</v>
      </c>
      <c r="C9" s="16">
        <f>(9*60)+3</f>
        <v>543</v>
      </c>
      <c r="D9">
        <v>3479.373</v>
      </c>
      <c r="E9">
        <v>0</v>
      </c>
      <c r="F9">
        <f t="shared" si="3"/>
        <v>3479.373</v>
      </c>
      <c r="G9">
        <f t="shared" si="0"/>
        <v>9.5649122807069369E-3</v>
      </c>
      <c r="H9">
        <f t="shared" si="4"/>
        <v>3479.3634350877192</v>
      </c>
      <c r="I9" s="5">
        <f t="shared" si="5"/>
        <v>-9.3415649122807736</v>
      </c>
      <c r="J9" s="7">
        <f t="shared" si="6"/>
        <v>978082.06643508782</v>
      </c>
      <c r="K9" s="5">
        <v>6</v>
      </c>
      <c r="L9" s="5">
        <v>38</v>
      </c>
      <c r="M9" s="5">
        <v>35.04</v>
      </c>
      <c r="N9" s="8">
        <v>106</v>
      </c>
      <c r="O9" s="8">
        <v>33</v>
      </c>
      <c r="P9" s="8">
        <v>31.35</v>
      </c>
      <c r="Q9" s="9">
        <f t="shared" si="1"/>
        <v>-6.643066666666666</v>
      </c>
      <c r="R9">
        <f t="shared" si="7"/>
        <v>106.55870833333333</v>
      </c>
      <c r="S9">
        <f t="shared" si="8"/>
        <v>-0.11594338576281796</v>
      </c>
      <c r="T9" s="1">
        <v>471</v>
      </c>
      <c r="U9">
        <f t="shared" si="2"/>
        <v>-1.2210526315789474</v>
      </c>
      <c r="V9">
        <f t="shared" si="9"/>
        <v>472.22105263157897</v>
      </c>
      <c r="W9">
        <f t="shared" si="18"/>
        <v>39.221052631578971</v>
      </c>
      <c r="X9">
        <f t="shared" si="19"/>
        <v>435.74005263157898</v>
      </c>
      <c r="Y9">
        <f t="shared" si="10"/>
        <v>0.57081280968347403</v>
      </c>
      <c r="Z9">
        <f t="shared" si="11"/>
        <v>978101.20176157379</v>
      </c>
      <c r="AA9">
        <f t="shared" si="12"/>
        <v>134.42580623684211</v>
      </c>
      <c r="AB9" s="7">
        <f t="shared" si="13"/>
        <v>115.29047975087764</v>
      </c>
      <c r="AC9">
        <f t="shared" si="14"/>
        <v>48.689375611026314</v>
      </c>
      <c r="AD9" s="2">
        <v>-2</v>
      </c>
      <c r="AE9" s="2">
        <v>5</v>
      </c>
      <c r="AF9" s="2">
        <v>4</v>
      </c>
      <c r="AG9" s="2">
        <v>-1</v>
      </c>
      <c r="AH9">
        <f t="shared" si="15"/>
        <v>2.0384653162369731E-2</v>
      </c>
      <c r="AI9">
        <f t="shared" si="15"/>
        <v>7.7480378373566541E-2</v>
      </c>
      <c r="AJ9">
        <f t="shared" si="15"/>
        <v>5.8077564065738108E-2</v>
      </c>
      <c r="AK9">
        <f t="shared" si="15"/>
        <v>5.905047403128365E-3</v>
      </c>
      <c r="AL9">
        <f t="shared" si="16"/>
        <v>0.16184764300480275</v>
      </c>
      <c r="AM9" s="7">
        <f t="shared" si="17"/>
        <v>66.192138973172646</v>
      </c>
    </row>
    <row r="10" spans="1:39" x14ac:dyDescent="0.25">
      <c r="B10" s="1">
        <v>22</v>
      </c>
      <c r="C10" s="16">
        <f>(9*60)+35</f>
        <v>575</v>
      </c>
      <c r="D10">
        <v>3481.6080000000002</v>
      </c>
      <c r="E10">
        <v>0</v>
      </c>
      <c r="F10">
        <f t="shared" si="3"/>
        <v>3481.6080000000002</v>
      </c>
      <c r="G10">
        <f t="shared" si="0"/>
        <v>2.0119298245624934E-2</v>
      </c>
      <c r="H10">
        <f t="shared" si="4"/>
        <v>3481.5878807017543</v>
      </c>
      <c r="I10" s="5">
        <f t="shared" si="5"/>
        <v>-7.1171192982455977</v>
      </c>
      <c r="J10" s="7">
        <f t="shared" si="6"/>
        <v>978084.29088070185</v>
      </c>
      <c r="K10" s="5">
        <v>6</v>
      </c>
      <c r="L10" s="5">
        <v>38</v>
      </c>
      <c r="M10" s="5">
        <v>33.049999999999997</v>
      </c>
      <c r="N10" s="8">
        <v>106</v>
      </c>
      <c r="O10" s="8">
        <v>33</v>
      </c>
      <c r="P10" s="8">
        <v>30.2</v>
      </c>
      <c r="Q10" s="9">
        <f t="shared" si="1"/>
        <v>-6.6425138888888888</v>
      </c>
      <c r="R10">
        <f t="shared" si="7"/>
        <v>106.55838888888889</v>
      </c>
      <c r="S10">
        <f t="shared" si="8"/>
        <v>-0.11593373797056389</v>
      </c>
      <c r="T10" s="1">
        <v>459</v>
      </c>
      <c r="U10">
        <f t="shared" si="2"/>
        <v>-2.5684210526315789</v>
      </c>
      <c r="V10">
        <f t="shared" si="9"/>
        <v>461.56842105263161</v>
      </c>
      <c r="W10">
        <f t="shared" si="18"/>
        <v>28.568421052631606</v>
      </c>
      <c r="X10">
        <f t="shared" si="19"/>
        <v>425.08742105263161</v>
      </c>
      <c r="Y10">
        <f t="shared" si="10"/>
        <v>0.55845756969072891</v>
      </c>
      <c r="Z10">
        <f t="shared" si="11"/>
        <v>978101.19026383257</v>
      </c>
      <c r="AA10">
        <f t="shared" si="12"/>
        <v>131.13946939473686</v>
      </c>
      <c r="AB10" s="7">
        <f t="shared" si="13"/>
        <v>114.2400862640207</v>
      </c>
      <c r="AC10">
        <f t="shared" si="14"/>
        <v>47.499055884710529</v>
      </c>
      <c r="AD10" s="2">
        <v>-5</v>
      </c>
      <c r="AE10" s="2">
        <v>3</v>
      </c>
      <c r="AF10" s="2">
        <v>2</v>
      </c>
      <c r="AG10" s="2">
        <v>-4</v>
      </c>
      <c r="AH10">
        <f t="shared" si="15"/>
        <v>7.7480378373566541E-2</v>
      </c>
      <c r="AI10">
        <f t="shared" si="15"/>
        <v>3.8655831353907356E-2</v>
      </c>
      <c r="AJ10">
        <f t="shared" si="15"/>
        <v>2.0384653162369731E-2</v>
      </c>
      <c r="AK10">
        <f t="shared" si="15"/>
        <v>5.8077564065738108E-2</v>
      </c>
      <c r="AL10">
        <f t="shared" si="16"/>
        <v>0.19459842695558174</v>
      </c>
      <c r="AM10" s="7">
        <f t="shared" si="17"/>
        <v>66.377171236575023</v>
      </c>
    </row>
    <row r="11" spans="1:39" x14ac:dyDescent="0.25">
      <c r="B11" s="1">
        <v>21</v>
      </c>
      <c r="C11" s="16">
        <f>(9*60)+39</f>
        <v>579</v>
      </c>
      <c r="D11">
        <v>3482.3429999999998</v>
      </c>
      <c r="E11">
        <v>0</v>
      </c>
      <c r="F11">
        <f t="shared" si="3"/>
        <v>3482.3429999999998</v>
      </c>
      <c r="G11">
        <f t="shared" si="0"/>
        <v>2.1438596491239685E-2</v>
      </c>
      <c r="H11">
        <f t="shared" si="4"/>
        <v>3482.3215614035084</v>
      </c>
      <c r="I11" s="5">
        <f t="shared" si="5"/>
        <v>-6.3834385964914873</v>
      </c>
      <c r="J11" s="7">
        <f t="shared" si="6"/>
        <v>978085.02456140355</v>
      </c>
      <c r="K11" s="5">
        <v>6</v>
      </c>
      <c r="L11" s="5">
        <v>38</v>
      </c>
      <c r="M11" s="5">
        <v>32</v>
      </c>
      <c r="N11" s="8">
        <v>106</v>
      </c>
      <c r="O11" s="8">
        <v>33</v>
      </c>
      <c r="P11" s="8">
        <v>29.56</v>
      </c>
      <c r="Q11" s="9">
        <f t="shared" si="1"/>
        <v>-6.6422222222222214</v>
      </c>
      <c r="R11">
        <f t="shared" si="7"/>
        <v>106.55821111111111</v>
      </c>
      <c r="S11">
        <f t="shared" si="8"/>
        <v>-0.11592864742691222</v>
      </c>
      <c r="T11" s="1">
        <v>456</v>
      </c>
      <c r="U11">
        <f t="shared" si="2"/>
        <v>-2.736842105263158</v>
      </c>
      <c r="V11">
        <f t="shared" si="9"/>
        <v>458.73684210526318</v>
      </c>
      <c r="W11">
        <f t="shared" si="18"/>
        <v>25.736842105263179</v>
      </c>
      <c r="X11">
        <f t="shared" si="19"/>
        <v>422.25584210526318</v>
      </c>
      <c r="Y11">
        <f t="shared" si="10"/>
        <v>0.5551599336520272</v>
      </c>
      <c r="Z11">
        <f t="shared" si="11"/>
        <v>978101.18419756403</v>
      </c>
      <c r="AA11">
        <f t="shared" si="12"/>
        <v>130.26592728947369</v>
      </c>
      <c r="AB11" s="7">
        <f t="shared" si="13"/>
        <v>114.10629112899849</v>
      </c>
      <c r="AC11">
        <f t="shared" si="14"/>
        <v>47.182656668921055</v>
      </c>
      <c r="AD11" s="2">
        <v>-2</v>
      </c>
      <c r="AE11" s="2">
        <v>1</v>
      </c>
      <c r="AF11" s="2">
        <v>2</v>
      </c>
      <c r="AG11" s="2">
        <v>-2</v>
      </c>
      <c r="AH11">
        <f t="shared" si="15"/>
        <v>2.0384653162369731E-2</v>
      </c>
      <c r="AI11">
        <f t="shared" si="15"/>
        <v>5.905047403128365E-3</v>
      </c>
      <c r="AJ11">
        <f t="shared" si="15"/>
        <v>2.0384653162369731E-2</v>
      </c>
      <c r="AK11">
        <f t="shared" si="15"/>
        <v>2.0384653162369731E-2</v>
      </c>
      <c r="AL11">
        <f t="shared" si="16"/>
        <v>6.7059006890237555E-2</v>
      </c>
      <c r="AM11" s="7">
        <f t="shared" si="17"/>
        <v>66.435533533315649</v>
      </c>
    </row>
    <row r="12" spans="1:39" x14ac:dyDescent="0.25">
      <c r="B12" s="1">
        <v>20</v>
      </c>
      <c r="C12" s="16">
        <f>(9*60)+46</f>
        <v>586</v>
      </c>
      <c r="D12">
        <v>3482.1280000000002</v>
      </c>
      <c r="E12">
        <v>0</v>
      </c>
      <c r="F12">
        <f t="shared" si="3"/>
        <v>3482.1280000000002</v>
      </c>
      <c r="G12">
        <f t="shared" si="0"/>
        <v>2.37473684210655E-2</v>
      </c>
      <c r="H12">
        <f t="shared" si="4"/>
        <v>3482.1042526315791</v>
      </c>
      <c r="I12" s="5">
        <f t="shared" si="5"/>
        <v>-6.600747368420798</v>
      </c>
      <c r="J12" s="7">
        <f t="shared" si="6"/>
        <v>978084.80725263164</v>
      </c>
      <c r="K12" s="5">
        <v>6</v>
      </c>
      <c r="L12" s="5">
        <v>38</v>
      </c>
      <c r="M12" s="5">
        <v>29.97</v>
      </c>
      <c r="N12" s="8">
        <v>106</v>
      </c>
      <c r="O12" s="8">
        <v>33</v>
      </c>
      <c r="P12" s="8">
        <v>28.52</v>
      </c>
      <c r="Q12" s="9">
        <f t="shared" si="1"/>
        <v>-6.641658333333333</v>
      </c>
      <c r="R12">
        <f t="shared" si="7"/>
        <v>106.55792222222222</v>
      </c>
      <c r="S12">
        <f t="shared" si="8"/>
        <v>-0.11591880570918571</v>
      </c>
      <c r="T12" s="1">
        <v>455</v>
      </c>
      <c r="U12">
        <f t="shared" si="2"/>
        <v>-3.0315789473684212</v>
      </c>
      <c r="V12">
        <f t="shared" si="9"/>
        <v>458.03157894736842</v>
      </c>
      <c r="W12">
        <f t="shared" si="18"/>
        <v>25.031578947368416</v>
      </c>
      <c r="X12">
        <f t="shared" si="19"/>
        <v>421.55057894736842</v>
      </c>
      <c r="Y12">
        <f t="shared" si="10"/>
        <v>0.55433770829972018</v>
      </c>
      <c r="Z12">
        <f t="shared" si="11"/>
        <v>978101.17247018614</v>
      </c>
      <c r="AA12">
        <f t="shared" si="12"/>
        <v>130.04835360526315</v>
      </c>
      <c r="AB12" s="7">
        <f t="shared" si="13"/>
        <v>113.68313605076375</v>
      </c>
      <c r="AC12">
        <f t="shared" si="14"/>
        <v>47.103850916289467</v>
      </c>
      <c r="AD12" s="2">
        <v>-5</v>
      </c>
      <c r="AE12" s="2">
        <v>-6</v>
      </c>
      <c r="AF12" s="2">
        <v>2</v>
      </c>
      <c r="AG12" s="2">
        <v>1</v>
      </c>
      <c r="AH12">
        <f t="shared" si="15"/>
        <v>7.7480378373566541E-2</v>
      </c>
      <c r="AI12">
        <f t="shared" si="15"/>
        <v>9.6344027617202871E-2</v>
      </c>
      <c r="AJ12">
        <f t="shared" si="15"/>
        <v>2.0384653162369731E-2</v>
      </c>
      <c r="AK12">
        <f t="shared" si="15"/>
        <v>5.905047403128365E-3</v>
      </c>
      <c r="AL12">
        <f t="shared" si="16"/>
        <v>0.20011410655626752</v>
      </c>
      <c r="AM12" s="7">
        <f t="shared" si="17"/>
        <v>66.22506153273082</v>
      </c>
    </row>
    <row r="13" spans="1:39" x14ac:dyDescent="0.25">
      <c r="B13" s="1">
        <v>19</v>
      </c>
      <c r="C13" s="16">
        <f>(9*60)+51</f>
        <v>591</v>
      </c>
      <c r="D13">
        <v>3483.0940000000001</v>
      </c>
      <c r="E13">
        <v>0</v>
      </c>
      <c r="F13">
        <f t="shared" si="3"/>
        <v>3483.0940000000001</v>
      </c>
      <c r="G13">
        <f t="shared" si="0"/>
        <v>2.5396491228083934E-2</v>
      </c>
      <c r="H13">
        <f t="shared" si="4"/>
        <v>3483.068603508772</v>
      </c>
      <c r="I13" s="5">
        <f t="shared" si="5"/>
        <v>-5.6363964912279698</v>
      </c>
      <c r="J13" s="7">
        <f t="shared" si="6"/>
        <v>978085.77160350885</v>
      </c>
      <c r="K13" s="5">
        <v>6</v>
      </c>
      <c r="L13" s="5">
        <v>38</v>
      </c>
      <c r="M13" s="5">
        <v>28.12</v>
      </c>
      <c r="N13" s="8">
        <v>106</v>
      </c>
      <c r="O13" s="8">
        <v>33</v>
      </c>
      <c r="P13" s="8">
        <v>28.14</v>
      </c>
      <c r="Q13" s="9">
        <f t="shared" si="1"/>
        <v>-6.6411444444444436</v>
      </c>
      <c r="R13">
        <f t="shared" si="7"/>
        <v>106.55781666666667</v>
      </c>
      <c r="S13">
        <f t="shared" si="8"/>
        <v>-0.11590983665608517</v>
      </c>
      <c r="T13" s="1">
        <v>450</v>
      </c>
      <c r="U13">
        <f t="shared" si="2"/>
        <v>-3.2421052631578946</v>
      </c>
      <c r="V13">
        <f t="shared" si="9"/>
        <v>453.2421052631579</v>
      </c>
      <c r="W13">
        <f t="shared" si="18"/>
        <v>20.242105263157896</v>
      </c>
      <c r="X13">
        <f t="shared" si="19"/>
        <v>416.7611052631579</v>
      </c>
      <c r="Y13">
        <f t="shared" si="10"/>
        <v>0.54874464359308717</v>
      </c>
      <c r="Z13">
        <f t="shared" si="11"/>
        <v>978101.16178352607</v>
      </c>
      <c r="AA13">
        <f t="shared" si="12"/>
        <v>128.57080097368421</v>
      </c>
      <c r="AB13" s="7">
        <f t="shared" si="13"/>
        <v>113.18062095646715</v>
      </c>
      <c r="AC13">
        <f t="shared" si="14"/>
        <v>46.56867752155263</v>
      </c>
      <c r="AD13" s="2">
        <v>-3</v>
      </c>
      <c r="AE13" s="2">
        <v>3</v>
      </c>
      <c r="AF13" s="2">
        <v>4</v>
      </c>
      <c r="AG13" s="2">
        <v>-2</v>
      </c>
      <c r="AH13">
        <f t="shared" si="15"/>
        <v>3.8655831353907356E-2</v>
      </c>
      <c r="AI13">
        <f t="shared" si="15"/>
        <v>3.8655831353907356E-2</v>
      </c>
      <c r="AJ13">
        <f t="shared" si="15"/>
        <v>5.8077564065738108E-2</v>
      </c>
      <c r="AK13">
        <f t="shared" si="15"/>
        <v>2.0384653162369731E-2</v>
      </c>
      <c r="AL13">
        <f t="shared" si="16"/>
        <v>0.15577387993592254</v>
      </c>
      <c r="AM13" s="7">
        <f t="shared" si="17"/>
        <v>66.218972671257362</v>
      </c>
    </row>
    <row r="14" spans="1:39" x14ac:dyDescent="0.25">
      <c r="B14" s="1">
        <v>18</v>
      </c>
      <c r="C14" s="16">
        <f>(9*60)+55</f>
        <v>595</v>
      </c>
      <c r="D14">
        <v>3485.105</v>
      </c>
      <c r="E14">
        <v>0</v>
      </c>
      <c r="F14">
        <f t="shared" si="3"/>
        <v>3485.105</v>
      </c>
      <c r="G14">
        <f t="shared" si="0"/>
        <v>2.6715789473698685E-2</v>
      </c>
      <c r="H14">
        <f t="shared" si="4"/>
        <v>3485.0782842105264</v>
      </c>
      <c r="I14" s="5">
        <f t="shared" si="5"/>
        <v>-3.6267157894735647</v>
      </c>
      <c r="J14" s="7">
        <f t="shared" si="6"/>
        <v>978087.78128421062</v>
      </c>
      <c r="K14" s="5">
        <v>6</v>
      </c>
      <c r="L14" s="5">
        <v>38</v>
      </c>
      <c r="M14" s="5">
        <v>27.22</v>
      </c>
      <c r="N14" s="8">
        <v>106</v>
      </c>
      <c r="O14" s="8">
        <v>33</v>
      </c>
      <c r="P14" s="8">
        <v>27.39</v>
      </c>
      <c r="Q14" s="9">
        <f t="shared" si="1"/>
        <v>-6.6408944444444442</v>
      </c>
      <c r="R14">
        <f t="shared" si="7"/>
        <v>106.55760833333333</v>
      </c>
      <c r="S14">
        <f t="shared" si="8"/>
        <v>-0.1159054733329552</v>
      </c>
      <c r="T14" s="1">
        <v>442</v>
      </c>
      <c r="U14">
        <f t="shared" si="2"/>
        <v>-3.4105263157894736</v>
      </c>
      <c r="V14">
        <f t="shared" si="9"/>
        <v>445.41052631578947</v>
      </c>
      <c r="W14">
        <f t="shared" si="18"/>
        <v>12.410526315789468</v>
      </c>
      <c r="X14">
        <f t="shared" si="19"/>
        <v>408.92952631578947</v>
      </c>
      <c r="Y14">
        <f t="shared" si="10"/>
        <v>0.53956414805550335</v>
      </c>
      <c r="Z14">
        <f t="shared" si="11"/>
        <v>978101.15658490383</v>
      </c>
      <c r="AA14">
        <f t="shared" si="12"/>
        <v>126.15475886842106</v>
      </c>
      <c r="AB14" s="7">
        <f t="shared" si="13"/>
        <v>112.77945817521177</v>
      </c>
      <c r="AC14">
        <f t="shared" si="14"/>
        <v>45.693580805763155</v>
      </c>
      <c r="AD14" s="2">
        <v>-4</v>
      </c>
      <c r="AE14" s="2">
        <v>4</v>
      </c>
      <c r="AF14" s="2">
        <v>3</v>
      </c>
      <c r="AG14" s="2">
        <v>-5</v>
      </c>
      <c r="AH14">
        <f t="shared" si="15"/>
        <v>5.8077564065738108E-2</v>
      </c>
      <c r="AI14">
        <f t="shared" si="15"/>
        <v>5.8077564065738108E-2</v>
      </c>
      <c r="AJ14">
        <f t="shared" si="15"/>
        <v>3.8655831353907356E-2</v>
      </c>
      <c r="AK14">
        <f t="shared" si="15"/>
        <v>7.7480378373566541E-2</v>
      </c>
      <c r="AL14">
        <f t="shared" si="16"/>
        <v>0.23229133785895012</v>
      </c>
      <c r="AM14" s="7">
        <f t="shared" si="17"/>
        <v>66.778604559252059</v>
      </c>
    </row>
    <row r="15" spans="1:39" x14ac:dyDescent="0.25">
      <c r="B15" s="1">
        <v>17</v>
      </c>
      <c r="C15" s="16">
        <f>(10*60)+1</f>
        <v>601</v>
      </c>
      <c r="D15">
        <v>3486.7620000000002</v>
      </c>
      <c r="E15">
        <v>0</v>
      </c>
      <c r="F15">
        <f t="shared" si="3"/>
        <v>3486.7620000000002</v>
      </c>
      <c r="G15">
        <f t="shared" si="0"/>
        <v>2.8694736842120809E-2</v>
      </c>
      <c r="H15">
        <f t="shared" si="4"/>
        <v>3486.7333052631579</v>
      </c>
      <c r="I15" s="5">
        <f t="shared" si="5"/>
        <v>-1.9716947368419824</v>
      </c>
      <c r="J15" s="7">
        <f t="shared" si="6"/>
        <v>978089.4363052632</v>
      </c>
      <c r="K15" s="5">
        <v>6</v>
      </c>
      <c r="L15" s="5">
        <v>38</v>
      </c>
      <c r="M15" s="5">
        <v>26.05</v>
      </c>
      <c r="N15" s="8">
        <v>106</v>
      </c>
      <c r="O15" s="8">
        <v>33</v>
      </c>
      <c r="P15" s="8">
        <v>26.49</v>
      </c>
      <c r="Q15" s="9">
        <f t="shared" si="1"/>
        <v>-6.6405694444444441</v>
      </c>
      <c r="R15">
        <f t="shared" si="7"/>
        <v>106.55735833333333</v>
      </c>
      <c r="S15">
        <f t="shared" si="8"/>
        <v>-0.11589980101288622</v>
      </c>
      <c r="T15" s="1">
        <v>435</v>
      </c>
      <c r="U15">
        <f t="shared" si="2"/>
        <v>-3.6631578947368419</v>
      </c>
      <c r="V15">
        <f t="shared" si="9"/>
        <v>438.66315789473686</v>
      </c>
      <c r="W15">
        <f t="shared" si="18"/>
        <v>5.6631578947368553</v>
      </c>
      <c r="X15">
        <f t="shared" si="19"/>
        <v>402.18215789473686</v>
      </c>
      <c r="Y15">
        <f t="shared" si="10"/>
        <v>0.5316198624795001</v>
      </c>
      <c r="Z15">
        <f t="shared" si="11"/>
        <v>978101.14982698218</v>
      </c>
      <c r="AA15">
        <f t="shared" si="12"/>
        <v>124.07319571052632</v>
      </c>
      <c r="AB15" s="7">
        <f t="shared" si="13"/>
        <v>112.35967399154744</v>
      </c>
      <c r="AC15">
        <f t="shared" si="14"/>
        <v>44.939633232078947</v>
      </c>
      <c r="AD15" s="2">
        <v>5</v>
      </c>
      <c r="AE15" s="2">
        <v>-3</v>
      </c>
      <c r="AF15" s="2">
        <v>-2</v>
      </c>
      <c r="AG15" s="2">
        <v>3</v>
      </c>
      <c r="AH15">
        <f t="shared" si="15"/>
        <v>7.7480378373566541E-2</v>
      </c>
      <c r="AI15">
        <f t="shared" si="15"/>
        <v>3.8655831353907356E-2</v>
      </c>
      <c r="AJ15">
        <f t="shared" si="15"/>
        <v>2.0384653162369731E-2</v>
      </c>
      <c r="AK15">
        <f t="shared" si="15"/>
        <v>3.8655831353907356E-2</v>
      </c>
      <c r="AL15">
        <f t="shared" si="16"/>
        <v>0.17517669424375099</v>
      </c>
      <c r="AM15" s="7">
        <f t="shared" si="17"/>
        <v>67.063597591232735</v>
      </c>
    </row>
    <row r="16" spans="1:39" x14ac:dyDescent="0.25">
      <c r="B16" s="1">
        <v>16</v>
      </c>
      <c r="C16" s="16">
        <f>(10*60)+6</f>
        <v>606</v>
      </c>
      <c r="D16">
        <v>3484.884</v>
      </c>
      <c r="E16">
        <v>0</v>
      </c>
      <c r="F16">
        <f t="shared" si="3"/>
        <v>3484.884</v>
      </c>
      <c r="G16">
        <f t="shared" si="0"/>
        <v>3.0343859649139247E-2</v>
      </c>
      <c r="H16">
        <f t="shared" si="4"/>
        <v>3484.8536561403507</v>
      </c>
      <c r="I16" s="5">
        <f t="shared" si="5"/>
        <v>-3.8513438596492051</v>
      </c>
      <c r="J16" s="7">
        <f t="shared" si="6"/>
        <v>978087.55665614037</v>
      </c>
      <c r="K16" s="5">
        <v>6</v>
      </c>
      <c r="L16" s="5">
        <v>38</v>
      </c>
      <c r="M16" s="5">
        <v>24.68</v>
      </c>
      <c r="N16" s="8">
        <v>106</v>
      </c>
      <c r="O16" s="8">
        <v>33</v>
      </c>
      <c r="P16" s="8">
        <v>25.86</v>
      </c>
      <c r="Q16" s="9">
        <f t="shared" si="1"/>
        <v>-6.640188888888888</v>
      </c>
      <c r="R16">
        <f t="shared" si="7"/>
        <v>106.55718333333333</v>
      </c>
      <c r="S16">
        <f t="shared" si="8"/>
        <v>-0.11589315906545501</v>
      </c>
      <c r="T16" s="1">
        <v>441</v>
      </c>
      <c r="U16">
        <f t="shared" si="2"/>
        <v>-3.8736842105263158</v>
      </c>
      <c r="V16">
        <f t="shared" si="9"/>
        <v>444.87368421052633</v>
      </c>
      <c r="W16">
        <f t="shared" si="18"/>
        <v>11.873684210526335</v>
      </c>
      <c r="X16">
        <f t="shared" si="19"/>
        <v>408.39268421052634</v>
      </c>
      <c r="Y16">
        <f t="shared" si="10"/>
        <v>0.53893325306257345</v>
      </c>
      <c r="Z16">
        <f t="shared" si="11"/>
        <v>978101.1419142735</v>
      </c>
      <c r="AA16">
        <f t="shared" si="12"/>
        <v>125.98914307894738</v>
      </c>
      <c r="AB16" s="7">
        <f t="shared" si="13"/>
        <v>112.40388494582002</v>
      </c>
      <c r="AC16">
        <f t="shared" si="14"/>
        <v>45.633594337342103</v>
      </c>
      <c r="AD16" s="2">
        <v>-6</v>
      </c>
      <c r="AE16" s="2">
        <v>2</v>
      </c>
      <c r="AF16" s="2">
        <v>3</v>
      </c>
      <c r="AG16" s="2">
        <v>-5</v>
      </c>
      <c r="AH16">
        <f t="shared" si="15"/>
        <v>9.6344027617202871E-2</v>
      </c>
      <c r="AI16">
        <f t="shared" si="15"/>
        <v>2.0384653162369731E-2</v>
      </c>
      <c r="AJ16">
        <f t="shared" si="15"/>
        <v>3.8655831353907356E-2</v>
      </c>
      <c r="AK16">
        <f t="shared" si="15"/>
        <v>7.7480378373566541E-2</v>
      </c>
      <c r="AL16">
        <f t="shared" si="16"/>
        <v>0.23286489050704651</v>
      </c>
      <c r="AM16" s="7">
        <f t="shared" si="17"/>
        <v>66.4642222459224</v>
      </c>
    </row>
    <row r="17" spans="2:39" x14ac:dyDescent="0.25">
      <c r="B17" s="1">
        <v>15</v>
      </c>
      <c r="C17" s="16">
        <f>(10*60)+12</f>
        <v>612</v>
      </c>
      <c r="D17">
        <v>3488.8049999999998</v>
      </c>
      <c r="E17">
        <v>0</v>
      </c>
      <c r="F17">
        <f t="shared" si="3"/>
        <v>3488.8049999999998</v>
      </c>
      <c r="G17">
        <f t="shared" si="0"/>
        <v>3.2322807017561371E-2</v>
      </c>
      <c r="H17">
        <f t="shared" si="4"/>
        <v>3488.7726771929824</v>
      </c>
      <c r="I17" s="5">
        <f t="shared" si="5"/>
        <v>6.7677192982500856E-2</v>
      </c>
      <c r="J17" s="7">
        <f t="shared" si="6"/>
        <v>978091.47567719303</v>
      </c>
      <c r="K17" s="5">
        <v>6</v>
      </c>
      <c r="L17" s="5">
        <v>38</v>
      </c>
      <c r="M17" s="5">
        <v>22.3</v>
      </c>
      <c r="N17" s="8">
        <v>106</v>
      </c>
      <c r="O17" s="8">
        <v>33</v>
      </c>
      <c r="P17" s="8">
        <v>25.47</v>
      </c>
      <c r="Q17" s="9">
        <f t="shared" si="1"/>
        <v>-6.6395277777777775</v>
      </c>
      <c r="R17">
        <f t="shared" si="7"/>
        <v>106.557075</v>
      </c>
      <c r="S17">
        <f t="shared" si="8"/>
        <v>-0.11588162049984461</v>
      </c>
      <c r="T17" s="1">
        <v>426</v>
      </c>
      <c r="U17">
        <f t="shared" si="2"/>
        <v>-4.1263157894736846</v>
      </c>
      <c r="V17">
        <f t="shared" si="9"/>
        <v>430.12631578947367</v>
      </c>
      <c r="W17">
        <f t="shared" si="18"/>
        <v>-2.8736842105263349</v>
      </c>
      <c r="X17">
        <f t="shared" si="19"/>
        <v>393.64531578947367</v>
      </c>
      <c r="Y17">
        <f t="shared" si="10"/>
        <v>0.52152258066345514</v>
      </c>
      <c r="Z17">
        <f t="shared" si="11"/>
        <v>978101.12816916639</v>
      </c>
      <c r="AA17">
        <f t="shared" si="12"/>
        <v>121.43957992105263</v>
      </c>
      <c r="AB17" s="7">
        <f t="shared" si="13"/>
        <v>111.78708794768883</v>
      </c>
      <c r="AC17">
        <f t="shared" si="14"/>
        <v>43.985730763657891</v>
      </c>
      <c r="AD17" s="2">
        <v>2</v>
      </c>
      <c r="AE17" s="2">
        <v>3</v>
      </c>
      <c r="AF17" s="2">
        <v>-2</v>
      </c>
      <c r="AG17" s="2">
        <v>-3</v>
      </c>
      <c r="AH17">
        <f t="shared" si="15"/>
        <v>2.0384653162369731E-2</v>
      </c>
      <c r="AI17">
        <f t="shared" si="15"/>
        <v>3.8655831353907356E-2</v>
      </c>
      <c r="AJ17">
        <f t="shared" si="15"/>
        <v>2.0384653162369731E-2</v>
      </c>
      <c r="AK17">
        <f t="shared" si="15"/>
        <v>3.8655831353907356E-2</v>
      </c>
      <c r="AL17">
        <f t="shared" si="16"/>
        <v>0.11808096903255416</v>
      </c>
      <c r="AM17" s="7">
        <f t="shared" si="17"/>
        <v>67.397915572400024</v>
      </c>
    </row>
    <row r="18" spans="2:39" x14ac:dyDescent="0.25">
      <c r="B18" s="1">
        <v>14</v>
      </c>
      <c r="C18" s="16">
        <f>(10*60)+19</f>
        <v>619</v>
      </c>
      <c r="D18">
        <v>3490.4560000000001</v>
      </c>
      <c r="E18">
        <v>0</v>
      </c>
      <c r="F18">
        <f t="shared" si="3"/>
        <v>3490.4560000000001</v>
      </c>
      <c r="G18">
        <f t="shared" si="0"/>
        <v>3.4631578947387186E-2</v>
      </c>
      <c r="H18">
        <f t="shared" si="4"/>
        <v>3490.4213684210526</v>
      </c>
      <c r="I18" s="5">
        <f t="shared" si="5"/>
        <v>1.7163684210527208</v>
      </c>
      <c r="J18" s="7">
        <f t="shared" si="6"/>
        <v>978093.12436842115</v>
      </c>
      <c r="K18" s="5">
        <v>6</v>
      </c>
      <c r="L18" s="5">
        <v>38</v>
      </c>
      <c r="M18" s="5">
        <v>20.73</v>
      </c>
      <c r="N18" s="8">
        <v>106</v>
      </c>
      <c r="O18" s="8">
        <v>33</v>
      </c>
      <c r="P18" s="8">
        <v>24.51</v>
      </c>
      <c r="Q18" s="9">
        <f t="shared" si="1"/>
        <v>-6.6390916666666664</v>
      </c>
      <c r="R18">
        <f t="shared" si="7"/>
        <v>106.55680833333334</v>
      </c>
      <c r="S18">
        <f t="shared" si="8"/>
        <v>-0.11587400892505119</v>
      </c>
      <c r="T18" s="1">
        <v>416</v>
      </c>
      <c r="U18">
        <f t="shared" si="2"/>
        <v>-4.4210526315789478</v>
      </c>
      <c r="V18">
        <f t="shared" si="9"/>
        <v>420.42105263157896</v>
      </c>
      <c r="W18">
        <f t="shared" si="18"/>
        <v>-12.578947368421041</v>
      </c>
      <c r="X18">
        <f t="shared" si="19"/>
        <v>383.94005263157896</v>
      </c>
      <c r="Y18">
        <f t="shared" si="10"/>
        <v>0.50998076804102288</v>
      </c>
      <c r="Z18">
        <f t="shared" si="11"/>
        <v>978101.11910275137</v>
      </c>
      <c r="AA18">
        <f t="shared" si="12"/>
        <v>118.44550623684211</v>
      </c>
      <c r="AB18" s="7">
        <f t="shared" si="13"/>
        <v>110.45077190662289</v>
      </c>
      <c r="AC18">
        <f t="shared" si="14"/>
        <v>42.901269511026314</v>
      </c>
      <c r="AD18" s="2">
        <v>-4</v>
      </c>
      <c r="AE18" s="2">
        <v>3</v>
      </c>
      <c r="AF18" s="2">
        <v>3</v>
      </c>
      <c r="AG18" s="2">
        <v>-2</v>
      </c>
      <c r="AH18">
        <f t="shared" si="15"/>
        <v>5.8077564065738108E-2</v>
      </c>
      <c r="AI18">
        <f t="shared" si="15"/>
        <v>3.8655831353907356E-2</v>
      </c>
      <c r="AJ18">
        <f t="shared" si="15"/>
        <v>3.8655831353907356E-2</v>
      </c>
      <c r="AK18">
        <f t="shared" si="15"/>
        <v>2.0384653162369731E-2</v>
      </c>
      <c r="AL18">
        <f t="shared" si="16"/>
        <v>0.15577387993592254</v>
      </c>
      <c r="AM18" s="7">
        <f t="shared" si="17"/>
        <v>67.19529550749148</v>
      </c>
    </row>
    <row r="19" spans="2:39" x14ac:dyDescent="0.25">
      <c r="B19" s="1">
        <v>13</v>
      </c>
      <c r="C19" s="16">
        <f>(10*60)+24</f>
        <v>624</v>
      </c>
      <c r="D19">
        <v>3488.7820000000002</v>
      </c>
      <c r="E19">
        <v>0</v>
      </c>
      <c r="F19">
        <f t="shared" si="3"/>
        <v>3488.7820000000002</v>
      </c>
      <c r="G19">
        <f t="shared" si="0"/>
        <v>3.628070175440562E-2</v>
      </c>
      <c r="H19">
        <f t="shared" si="4"/>
        <v>3488.7457192982456</v>
      </c>
      <c r="I19" s="5">
        <f t="shared" si="5"/>
        <v>4.0719298245676327E-2</v>
      </c>
      <c r="J19" s="7">
        <f t="shared" si="6"/>
        <v>978091.44871929835</v>
      </c>
      <c r="K19" s="5">
        <v>6</v>
      </c>
      <c r="L19" s="5">
        <v>38</v>
      </c>
      <c r="M19" s="5">
        <v>19.13</v>
      </c>
      <c r="N19" s="8">
        <v>106</v>
      </c>
      <c r="O19" s="8">
        <v>33</v>
      </c>
      <c r="P19" s="8">
        <v>22.59</v>
      </c>
      <c r="Q19" s="9">
        <f t="shared" si="1"/>
        <v>-6.6386472222222217</v>
      </c>
      <c r="R19">
        <f t="shared" si="7"/>
        <v>106.556275</v>
      </c>
      <c r="S19">
        <f t="shared" si="8"/>
        <v>-0.11586625190615343</v>
      </c>
      <c r="T19" s="1">
        <v>423</v>
      </c>
      <c r="U19">
        <f t="shared" si="2"/>
        <v>-4.6315789473684212</v>
      </c>
      <c r="V19">
        <f t="shared" si="9"/>
        <v>427.63157894736844</v>
      </c>
      <c r="W19">
        <f t="shared" si="18"/>
        <v>-5.368421052631561</v>
      </c>
      <c r="X19">
        <f t="shared" si="19"/>
        <v>391.15057894736844</v>
      </c>
      <c r="Y19">
        <f t="shared" si="10"/>
        <v>0.51856211281541298</v>
      </c>
      <c r="Z19">
        <f t="shared" si="11"/>
        <v>978101.10986369499</v>
      </c>
      <c r="AA19">
        <f t="shared" si="12"/>
        <v>120.66995360526316</v>
      </c>
      <c r="AB19" s="7">
        <f t="shared" si="13"/>
        <v>111.00880920862373</v>
      </c>
      <c r="AC19">
        <f t="shared" si="14"/>
        <v>43.706970116289476</v>
      </c>
      <c r="AD19" s="2">
        <v>3</v>
      </c>
      <c r="AE19" s="2">
        <v>-2</v>
      </c>
      <c r="AF19" s="2">
        <v>2</v>
      </c>
      <c r="AG19" s="2">
        <v>3</v>
      </c>
      <c r="AH19">
        <f t="shared" si="15"/>
        <v>3.8655831353907356E-2</v>
      </c>
      <c r="AI19">
        <f t="shared" si="15"/>
        <v>2.0384653162369731E-2</v>
      </c>
      <c r="AJ19">
        <f t="shared" si="15"/>
        <v>2.0384653162369731E-2</v>
      </c>
      <c r="AK19">
        <f t="shared" si="15"/>
        <v>3.8655831353907356E-2</v>
      </c>
      <c r="AL19">
        <f t="shared" si="16"/>
        <v>0.11808096903255416</v>
      </c>
      <c r="AM19" s="7">
        <f t="shared" si="17"/>
        <v>66.901357948551393</v>
      </c>
    </row>
    <row r="20" spans="2:39" x14ac:dyDescent="0.25">
      <c r="B20" s="1">
        <v>12</v>
      </c>
      <c r="C20" s="16">
        <f>(10*60)+29</f>
        <v>629</v>
      </c>
      <c r="D20">
        <v>3488.8339999999998</v>
      </c>
      <c r="E20">
        <v>0</v>
      </c>
      <c r="F20">
        <f t="shared" si="3"/>
        <v>3488.8339999999998</v>
      </c>
      <c r="G20">
        <f t="shared" si="0"/>
        <v>3.7929824561424061E-2</v>
      </c>
      <c r="H20">
        <f t="shared" si="4"/>
        <v>3488.7960701754382</v>
      </c>
      <c r="I20" s="5">
        <f t="shared" si="5"/>
        <v>9.107017543828988E-2</v>
      </c>
      <c r="J20" s="7">
        <f t="shared" si="6"/>
        <v>978091.49907017546</v>
      </c>
      <c r="K20" s="5">
        <v>6</v>
      </c>
      <c r="L20" s="5">
        <v>38</v>
      </c>
      <c r="M20" s="5">
        <v>17.98</v>
      </c>
      <c r="N20" s="8">
        <v>106</v>
      </c>
      <c r="O20" s="8">
        <v>33</v>
      </c>
      <c r="P20" s="8">
        <v>22.64</v>
      </c>
      <c r="Q20" s="9">
        <f t="shared" si="1"/>
        <v>-6.6383277777777776</v>
      </c>
      <c r="R20">
        <f t="shared" si="7"/>
        <v>106.55628888888889</v>
      </c>
      <c r="S20">
        <f t="shared" si="8"/>
        <v>-0.11586067654882068</v>
      </c>
      <c r="T20" s="1">
        <v>423</v>
      </c>
      <c r="U20">
        <f t="shared" si="2"/>
        <v>-4.8421052631578947</v>
      </c>
      <c r="V20">
        <f t="shared" si="9"/>
        <v>427.84210526315792</v>
      </c>
      <c r="W20">
        <f t="shared" si="18"/>
        <v>-5.1578947368420813</v>
      </c>
      <c r="X20">
        <f t="shared" si="19"/>
        <v>391.36110526315792</v>
      </c>
      <c r="Y20">
        <f t="shared" si="10"/>
        <v>0.5188121111839179</v>
      </c>
      <c r="Z20">
        <f t="shared" si="11"/>
        <v>978101.10322349798</v>
      </c>
      <c r="AA20">
        <f t="shared" si="12"/>
        <v>120.73490097368422</v>
      </c>
      <c r="AB20" s="7">
        <f t="shared" si="13"/>
        <v>111.13074765116262</v>
      </c>
      <c r="AC20">
        <f t="shared" si="14"/>
        <v>43.730494221552632</v>
      </c>
      <c r="AD20" s="2">
        <v>-2</v>
      </c>
      <c r="AE20" s="2">
        <v>-4</v>
      </c>
      <c r="AF20" s="2">
        <v>3</v>
      </c>
      <c r="AG20" s="2">
        <v>4</v>
      </c>
      <c r="AH20">
        <f t="shared" si="15"/>
        <v>2.0384653162369731E-2</v>
      </c>
      <c r="AI20">
        <f t="shared" si="15"/>
        <v>5.8077564065738108E-2</v>
      </c>
      <c r="AJ20">
        <f t="shared" si="15"/>
        <v>3.8655831353907356E-2</v>
      </c>
      <c r="AK20">
        <f t="shared" si="15"/>
        <v>5.8077564065738108E-2</v>
      </c>
      <c r="AL20">
        <f t="shared" si="16"/>
        <v>0.1751956126477533</v>
      </c>
      <c r="AM20" s="7">
        <f t="shared" si="17"/>
        <v>67.056636931073825</v>
      </c>
    </row>
    <row r="21" spans="2:39" x14ac:dyDescent="0.25">
      <c r="B21" s="1">
        <v>11</v>
      </c>
      <c r="C21" s="16">
        <f>(10*60)+34</f>
        <v>634</v>
      </c>
      <c r="D21">
        <v>3488.308</v>
      </c>
      <c r="E21">
        <v>0</v>
      </c>
      <c r="F21">
        <f t="shared" si="3"/>
        <v>3488.308</v>
      </c>
      <c r="G21">
        <f t="shared" si="0"/>
        <v>3.9578947368442495E-2</v>
      </c>
      <c r="H21">
        <f t="shared" si="4"/>
        <v>3488.2684210526318</v>
      </c>
      <c r="I21" s="5">
        <f t="shared" si="5"/>
        <v>-0.43657894736816161</v>
      </c>
      <c r="J21" s="7">
        <f t="shared" si="6"/>
        <v>978090.9714210527</v>
      </c>
      <c r="K21" s="5">
        <v>6</v>
      </c>
      <c r="L21" s="5">
        <v>38</v>
      </c>
      <c r="M21" s="5">
        <v>16.690000000000001</v>
      </c>
      <c r="N21" s="8">
        <v>106</v>
      </c>
      <c r="O21" s="8">
        <v>33</v>
      </c>
      <c r="P21" s="8">
        <v>21.85</v>
      </c>
      <c r="Q21" s="9">
        <f t="shared" si="1"/>
        <v>-6.6379694444444439</v>
      </c>
      <c r="R21">
        <f t="shared" si="7"/>
        <v>106.55606944444445</v>
      </c>
      <c r="S21">
        <f t="shared" si="8"/>
        <v>-0.11585442245233436</v>
      </c>
      <c r="T21" s="1">
        <v>425</v>
      </c>
      <c r="U21">
        <f t="shared" si="2"/>
        <v>-5.0526315789473681</v>
      </c>
      <c r="V21">
        <f t="shared" si="9"/>
        <v>430.05263157894734</v>
      </c>
      <c r="W21">
        <f t="shared" si="18"/>
        <v>-2.9473684210526585</v>
      </c>
      <c r="X21">
        <f t="shared" si="19"/>
        <v>393.57163157894735</v>
      </c>
      <c r="Y21">
        <f t="shared" si="10"/>
        <v>0.52143520369668717</v>
      </c>
      <c r="Z21">
        <f t="shared" si="11"/>
        <v>978101.09577530285</v>
      </c>
      <c r="AA21">
        <f t="shared" si="12"/>
        <v>121.41684834210525</v>
      </c>
      <c r="AB21" s="7">
        <f t="shared" si="13"/>
        <v>111.29249409195825</v>
      </c>
      <c r="AC21">
        <f t="shared" si="14"/>
        <v>43.977497326815786</v>
      </c>
      <c r="AD21" s="2">
        <v>-3</v>
      </c>
      <c r="AE21" s="2">
        <v>2</v>
      </c>
      <c r="AF21" s="2">
        <v>1</v>
      </c>
      <c r="AG21" s="2">
        <v>-2</v>
      </c>
      <c r="AH21">
        <f t="shared" si="15"/>
        <v>3.8655831353907356E-2</v>
      </c>
      <c r="AI21">
        <f t="shared" si="15"/>
        <v>2.0384653162369731E-2</v>
      </c>
      <c r="AJ21">
        <f t="shared" si="15"/>
        <v>5.905047403128365E-3</v>
      </c>
      <c r="AK21">
        <f t="shared" si="15"/>
        <v>2.0384653162369731E-2</v>
      </c>
      <c r="AL21">
        <f t="shared" si="16"/>
        <v>8.5330185081775187E-2</v>
      </c>
      <c r="AM21" s="7">
        <f t="shared" si="17"/>
        <v>66.878891746527557</v>
      </c>
    </row>
    <row r="22" spans="2:39" x14ac:dyDescent="0.25">
      <c r="B22" s="1">
        <v>10</v>
      </c>
      <c r="C22" s="16">
        <f>(10*60)+39</f>
        <v>639</v>
      </c>
      <c r="D22">
        <v>3488.788</v>
      </c>
      <c r="E22">
        <v>0</v>
      </c>
      <c r="F22">
        <f t="shared" si="3"/>
        <v>3488.788</v>
      </c>
      <c r="G22">
        <f t="shared" si="0"/>
        <v>4.1228070175460936E-2</v>
      </c>
      <c r="H22">
        <f t="shared" si="4"/>
        <v>3488.7467719298247</v>
      </c>
      <c r="I22" s="5">
        <f t="shared" si="5"/>
        <v>4.1771929824790277E-2</v>
      </c>
      <c r="J22" s="7">
        <f t="shared" si="6"/>
        <v>978091.44977192988</v>
      </c>
      <c r="K22" s="5">
        <v>6</v>
      </c>
      <c r="L22" s="5">
        <v>38</v>
      </c>
      <c r="M22" s="5">
        <v>15.43</v>
      </c>
      <c r="N22" s="8">
        <v>106</v>
      </c>
      <c r="O22" s="8">
        <v>33</v>
      </c>
      <c r="P22" s="8">
        <v>21.16</v>
      </c>
      <c r="Q22" s="9">
        <f t="shared" si="1"/>
        <v>-6.6376194444444439</v>
      </c>
      <c r="R22">
        <f t="shared" si="7"/>
        <v>106.55587777777778</v>
      </c>
      <c r="S22">
        <f t="shared" si="8"/>
        <v>-0.11584831379995239</v>
      </c>
      <c r="T22" s="1">
        <v>422</v>
      </c>
      <c r="U22">
        <f t="shared" si="2"/>
        <v>-5.2631578947368425</v>
      </c>
      <c r="V22">
        <f t="shared" si="9"/>
        <v>427.26315789473682</v>
      </c>
      <c r="W22">
        <f t="shared" si="18"/>
        <v>-5.7368421052631788</v>
      </c>
      <c r="X22">
        <f t="shared" si="19"/>
        <v>390.78215789473683</v>
      </c>
      <c r="Y22">
        <f t="shared" si="10"/>
        <v>0.51812454033020627</v>
      </c>
      <c r="Z22">
        <f t="shared" si="11"/>
        <v>978101.08850070275</v>
      </c>
      <c r="AA22">
        <f t="shared" si="12"/>
        <v>120.55629571052631</v>
      </c>
      <c r="AB22" s="7">
        <f t="shared" si="13"/>
        <v>110.91756693765419</v>
      </c>
      <c r="AC22">
        <f t="shared" si="14"/>
        <v>43.66580293207894</v>
      </c>
      <c r="AD22" s="2">
        <v>-4</v>
      </c>
      <c r="AE22" s="2">
        <v>3</v>
      </c>
      <c r="AF22" s="2">
        <v>2</v>
      </c>
      <c r="AG22" s="2">
        <v>2</v>
      </c>
      <c r="AH22">
        <f t="shared" si="15"/>
        <v>5.8077564065738108E-2</v>
      </c>
      <c r="AI22">
        <f t="shared" si="15"/>
        <v>3.8655831353907356E-2</v>
      </c>
      <c r="AJ22">
        <f t="shared" si="15"/>
        <v>2.0384653162369731E-2</v>
      </c>
      <c r="AK22">
        <f t="shared" si="15"/>
        <v>2.0384653162369731E-2</v>
      </c>
      <c r="AL22">
        <f t="shared" si="16"/>
        <v>0.13750270174438492</v>
      </c>
      <c r="AM22" s="7">
        <f t="shared" si="17"/>
        <v>66.871142166989415</v>
      </c>
    </row>
    <row r="23" spans="2:39" x14ac:dyDescent="0.25">
      <c r="B23" s="1">
        <v>9</v>
      </c>
      <c r="C23" s="16">
        <f>(10*60)+43</f>
        <v>643</v>
      </c>
      <c r="D23">
        <v>3488.6170000000002</v>
      </c>
      <c r="E23">
        <v>0</v>
      </c>
      <c r="F23">
        <f t="shared" si="3"/>
        <v>3488.6170000000002</v>
      </c>
      <c r="G23">
        <f t="shared" si="0"/>
        <v>4.2547368421075683E-2</v>
      </c>
      <c r="H23">
        <f t="shared" si="4"/>
        <v>3488.5744526315793</v>
      </c>
      <c r="I23" s="5">
        <f t="shared" si="5"/>
        <v>-0.13054736842059356</v>
      </c>
      <c r="J23" s="7">
        <f t="shared" si="6"/>
        <v>978091.27745263162</v>
      </c>
      <c r="K23" s="5">
        <v>6</v>
      </c>
      <c r="L23" s="5">
        <v>38</v>
      </c>
      <c r="M23" s="5">
        <v>14.01</v>
      </c>
      <c r="N23" s="8">
        <v>106</v>
      </c>
      <c r="O23" s="8">
        <v>33</v>
      </c>
      <c r="P23" s="8">
        <v>20.14</v>
      </c>
      <c r="Q23" s="9">
        <f t="shared" si="1"/>
        <v>-6.6372249999999999</v>
      </c>
      <c r="R23">
        <f t="shared" si="7"/>
        <v>106.55559444444444</v>
      </c>
      <c r="S23">
        <f t="shared" si="8"/>
        <v>-0.11584142944568064</v>
      </c>
      <c r="T23" s="1">
        <v>422</v>
      </c>
      <c r="U23">
        <f t="shared" si="2"/>
        <v>-5.4315789473684211</v>
      </c>
      <c r="V23">
        <f t="shared" si="9"/>
        <v>427.43157894736839</v>
      </c>
      <c r="W23">
        <f t="shared" si="18"/>
        <v>-5.5684210526316065</v>
      </c>
      <c r="X23">
        <f t="shared" si="19"/>
        <v>390.9505789473684</v>
      </c>
      <c r="Y23">
        <f t="shared" si="10"/>
        <v>0.51832458536420178</v>
      </c>
      <c r="Z23">
        <f t="shared" si="11"/>
        <v>978101.08030279551</v>
      </c>
      <c r="AA23">
        <f t="shared" si="12"/>
        <v>120.60825360526314</v>
      </c>
      <c r="AB23" s="7">
        <f t="shared" si="13"/>
        <v>110.80540344137216</v>
      </c>
      <c r="AC23">
        <f t="shared" si="14"/>
        <v>43.684622216289469</v>
      </c>
      <c r="AD23" s="2">
        <v>-3</v>
      </c>
      <c r="AE23" s="2">
        <v>2</v>
      </c>
      <c r="AF23" s="2">
        <v>3</v>
      </c>
      <c r="AG23" s="2">
        <v>2</v>
      </c>
      <c r="AH23">
        <f t="shared" si="15"/>
        <v>3.8655831353907356E-2</v>
      </c>
      <c r="AI23">
        <f t="shared" si="15"/>
        <v>2.0384653162369731E-2</v>
      </c>
      <c r="AJ23">
        <f t="shared" si="15"/>
        <v>3.8655831353907356E-2</v>
      </c>
      <c r="AK23">
        <f t="shared" si="15"/>
        <v>2.0384653162369731E-2</v>
      </c>
      <c r="AL23">
        <f t="shared" si="16"/>
        <v>0.11808096903255418</v>
      </c>
      <c r="AM23" s="7">
        <f t="shared" si="17"/>
        <v>66.720537608751044</v>
      </c>
    </row>
    <row r="24" spans="2:39" x14ac:dyDescent="0.25">
      <c r="B24" s="1">
        <v>8</v>
      </c>
      <c r="C24" s="16">
        <f>(10*60)+48</f>
        <v>648</v>
      </c>
      <c r="D24">
        <v>3489.5059999999999</v>
      </c>
      <c r="E24">
        <v>0</v>
      </c>
      <c r="F24">
        <f t="shared" si="3"/>
        <v>3489.5059999999999</v>
      </c>
      <c r="G24">
        <f t="shared" si="0"/>
        <v>4.4196491228094124E-2</v>
      </c>
      <c r="H24">
        <f t="shared" si="4"/>
        <v>3489.4618035087719</v>
      </c>
      <c r="I24" s="5">
        <f t="shared" si="5"/>
        <v>0.75680350877200908</v>
      </c>
      <c r="J24" s="7">
        <f t="shared" si="6"/>
        <v>978092.16480350879</v>
      </c>
      <c r="K24" s="5">
        <v>6</v>
      </c>
      <c r="L24" s="5">
        <v>38</v>
      </c>
      <c r="M24" s="5">
        <v>12.17</v>
      </c>
      <c r="N24" s="8">
        <v>106</v>
      </c>
      <c r="O24" s="8">
        <v>33</v>
      </c>
      <c r="P24" s="8">
        <v>19.239999999999998</v>
      </c>
      <c r="Q24" s="9">
        <f t="shared" si="1"/>
        <v>-6.6367138888888881</v>
      </c>
      <c r="R24">
        <f t="shared" si="7"/>
        <v>106.55534444444444</v>
      </c>
      <c r="S24">
        <f t="shared" si="8"/>
        <v>-0.11583250887394821</v>
      </c>
      <c r="T24" s="1">
        <v>418</v>
      </c>
      <c r="U24">
        <f t="shared" si="2"/>
        <v>-5.6421052631578945</v>
      </c>
      <c r="V24">
        <f t="shared" si="9"/>
        <v>423.64210526315787</v>
      </c>
      <c r="W24">
        <f t="shared" si="18"/>
        <v>-9.3578947368421268</v>
      </c>
      <c r="X24">
        <f t="shared" si="19"/>
        <v>387.16110526315788</v>
      </c>
      <c r="Y24">
        <f t="shared" si="10"/>
        <v>0.51381872526769479</v>
      </c>
      <c r="Z24">
        <f t="shared" si="11"/>
        <v>978101.06968086644</v>
      </c>
      <c r="AA24">
        <f t="shared" si="12"/>
        <v>119.43920097368421</v>
      </c>
      <c r="AB24" s="7">
        <f t="shared" si="13"/>
        <v>110.53432361603366</v>
      </c>
      <c r="AC24">
        <f t="shared" si="14"/>
        <v>43.261188321552623</v>
      </c>
      <c r="AD24" s="2">
        <v>-4</v>
      </c>
      <c r="AE24" s="2">
        <v>2</v>
      </c>
      <c r="AF24" s="2">
        <v>3</v>
      </c>
      <c r="AG24" s="2">
        <v>3</v>
      </c>
      <c r="AH24">
        <f t="shared" si="15"/>
        <v>5.8077564065738108E-2</v>
      </c>
      <c r="AI24">
        <f t="shared" si="15"/>
        <v>2.0384653162369731E-2</v>
      </c>
      <c r="AJ24">
        <f t="shared" si="15"/>
        <v>3.8655831353907356E-2</v>
      </c>
      <c r="AK24">
        <f t="shared" si="15"/>
        <v>3.8655831353907356E-2</v>
      </c>
      <c r="AL24">
        <f t="shared" si="16"/>
        <v>0.15577387993592254</v>
      </c>
      <c r="AM24" s="7">
        <f t="shared" si="17"/>
        <v>66.915090449149261</v>
      </c>
    </row>
    <row r="25" spans="2:39" x14ac:dyDescent="0.25">
      <c r="B25" s="1">
        <v>7</v>
      </c>
      <c r="C25" s="16">
        <f>(10*60)+53</f>
        <v>653</v>
      </c>
      <c r="D25">
        <v>3489.35</v>
      </c>
      <c r="E25">
        <v>0</v>
      </c>
      <c r="F25">
        <f t="shared" si="3"/>
        <v>3489.35</v>
      </c>
      <c r="G25">
        <f t="shared" si="0"/>
        <v>4.5845614035112559E-2</v>
      </c>
      <c r="H25">
        <f t="shared" si="4"/>
        <v>3489.3041543859649</v>
      </c>
      <c r="I25" s="5">
        <f t="shared" si="5"/>
        <v>0.59915438596499371</v>
      </c>
      <c r="J25" s="7">
        <f t="shared" si="6"/>
        <v>978092.00715438602</v>
      </c>
      <c r="K25" s="5">
        <v>6</v>
      </c>
      <c r="L25" s="5">
        <v>38</v>
      </c>
      <c r="M25" s="5">
        <v>10.14</v>
      </c>
      <c r="N25" s="8">
        <v>106</v>
      </c>
      <c r="O25" s="8">
        <v>33</v>
      </c>
      <c r="P25" s="8">
        <v>18.66</v>
      </c>
      <c r="Q25" s="9">
        <f t="shared" si="1"/>
        <v>-6.6361499999999998</v>
      </c>
      <c r="R25">
        <f t="shared" si="7"/>
        <v>106.55518333333333</v>
      </c>
      <c r="S25">
        <f t="shared" si="8"/>
        <v>-0.11582266715622169</v>
      </c>
      <c r="T25" s="1">
        <v>413</v>
      </c>
      <c r="U25">
        <f t="shared" si="2"/>
        <v>-5.8526315789473689</v>
      </c>
      <c r="V25">
        <f t="shared" si="9"/>
        <v>418.85263157894735</v>
      </c>
      <c r="W25">
        <f t="shared" si="18"/>
        <v>-14.147368421052647</v>
      </c>
      <c r="X25">
        <f t="shared" si="19"/>
        <v>382.37163157894736</v>
      </c>
      <c r="Y25">
        <f t="shared" si="10"/>
        <v>0.5081093054473188</v>
      </c>
      <c r="Z25">
        <f t="shared" si="11"/>
        <v>978101.05796303984</v>
      </c>
      <c r="AA25">
        <f t="shared" si="12"/>
        <v>117.96164834210526</v>
      </c>
      <c r="AB25" s="7">
        <f t="shared" si="13"/>
        <v>108.91083968828775</v>
      </c>
      <c r="AC25">
        <f t="shared" si="14"/>
        <v>42.726014926815786</v>
      </c>
      <c r="AD25" s="2">
        <v>-5</v>
      </c>
      <c r="AE25" s="2">
        <v>-4</v>
      </c>
      <c r="AF25" s="2">
        <v>4</v>
      </c>
      <c r="AG25" s="2">
        <v>3</v>
      </c>
      <c r="AH25">
        <f t="shared" si="15"/>
        <v>7.7480378373566541E-2</v>
      </c>
      <c r="AI25">
        <f t="shared" si="15"/>
        <v>5.8077564065738108E-2</v>
      </c>
      <c r="AJ25">
        <f t="shared" si="15"/>
        <v>5.8077564065738108E-2</v>
      </c>
      <c r="AK25">
        <f t="shared" si="15"/>
        <v>3.8655831353907356E-2</v>
      </c>
      <c r="AL25">
        <f t="shared" si="16"/>
        <v>0.23229133785895009</v>
      </c>
      <c r="AM25" s="7">
        <f t="shared" si="17"/>
        <v>65.909006793883592</v>
      </c>
    </row>
    <row r="26" spans="2:39" x14ac:dyDescent="0.25">
      <c r="B26" s="1">
        <v>6</v>
      </c>
      <c r="C26" s="16">
        <f>(12*60)+26</f>
        <v>746</v>
      </c>
      <c r="D26">
        <v>3491.2640000000001</v>
      </c>
      <c r="E26">
        <v>0</v>
      </c>
      <c r="F26">
        <f t="shared" si="3"/>
        <v>3491.2640000000001</v>
      </c>
      <c r="G26">
        <f t="shared" si="0"/>
        <v>7.6519298245655495E-2</v>
      </c>
      <c r="H26">
        <f t="shared" si="4"/>
        <v>3491.1874807017543</v>
      </c>
      <c r="I26" s="5">
        <f t="shared" si="5"/>
        <v>2.4824807017544117</v>
      </c>
      <c r="J26" s="7">
        <f t="shared" si="6"/>
        <v>978093.89048070181</v>
      </c>
      <c r="K26" s="5">
        <v>6</v>
      </c>
      <c r="L26" s="5">
        <v>38</v>
      </c>
      <c r="M26" s="5">
        <v>9.0299999999999994</v>
      </c>
      <c r="N26" s="8">
        <v>106</v>
      </c>
      <c r="O26" s="8">
        <v>33</v>
      </c>
      <c r="P26" s="8">
        <v>17.75</v>
      </c>
      <c r="Q26" s="9">
        <f t="shared" si="1"/>
        <v>-6.635841666666666</v>
      </c>
      <c r="R26">
        <f t="shared" si="7"/>
        <v>106.55493055555556</v>
      </c>
      <c r="S26">
        <f t="shared" si="8"/>
        <v>-0.11581728572436137</v>
      </c>
      <c r="T26" s="1">
        <v>417</v>
      </c>
      <c r="U26">
        <f t="shared" si="2"/>
        <v>-9.7684210526315791</v>
      </c>
      <c r="V26">
        <f t="shared" si="9"/>
        <v>426.7684210526316</v>
      </c>
      <c r="W26">
        <f t="shared" si="18"/>
        <v>-6.2315789473684049</v>
      </c>
      <c r="X26">
        <f t="shared" si="19"/>
        <v>390.2874210526316</v>
      </c>
      <c r="Y26">
        <f t="shared" si="10"/>
        <v>0.51753679215571013</v>
      </c>
      <c r="Z26">
        <f t="shared" si="11"/>
        <v>978101.05155616871</v>
      </c>
      <c r="AA26">
        <f t="shared" si="12"/>
        <v>120.40366939473685</v>
      </c>
      <c r="AB26" s="7">
        <f t="shared" si="13"/>
        <v>113.24259392784231</v>
      </c>
      <c r="AC26">
        <f t="shared" si="14"/>
        <v>43.610521284710522</v>
      </c>
      <c r="AD26" s="2">
        <v>-4</v>
      </c>
      <c r="AE26" s="2">
        <v>3</v>
      </c>
      <c r="AF26" s="2">
        <v>3</v>
      </c>
      <c r="AG26" s="2">
        <v>5</v>
      </c>
      <c r="AH26">
        <f t="shared" si="15"/>
        <v>5.8077564065738108E-2</v>
      </c>
      <c r="AI26">
        <f t="shared" si="15"/>
        <v>3.8655831353907356E-2</v>
      </c>
      <c r="AJ26">
        <f t="shared" si="15"/>
        <v>3.8655831353907356E-2</v>
      </c>
      <c r="AK26">
        <f t="shared" si="15"/>
        <v>7.7480378373566541E-2</v>
      </c>
      <c r="AL26">
        <f t="shared" si="16"/>
        <v>0.21286960514711933</v>
      </c>
      <c r="AM26" s="7">
        <f t="shared" si="17"/>
        <v>69.327405456123188</v>
      </c>
    </row>
    <row r="27" spans="2:39" x14ac:dyDescent="0.25">
      <c r="B27" s="1">
        <v>5</v>
      </c>
      <c r="C27" s="16">
        <f>(12*60)+3</f>
        <v>723</v>
      </c>
      <c r="D27">
        <v>3491.4490000000001</v>
      </c>
      <c r="E27">
        <v>0</v>
      </c>
      <c r="F27">
        <f t="shared" si="3"/>
        <v>3491.4490000000001</v>
      </c>
      <c r="G27">
        <f t="shared" si="0"/>
        <v>6.8933333333370678E-2</v>
      </c>
      <c r="H27">
        <f t="shared" si="4"/>
        <v>3491.3800666666666</v>
      </c>
      <c r="I27" s="5">
        <f t="shared" si="5"/>
        <v>2.6750666666666802</v>
      </c>
      <c r="J27" s="7">
        <f t="shared" si="6"/>
        <v>978094.08306666673</v>
      </c>
      <c r="K27" s="5">
        <v>6</v>
      </c>
      <c r="L27" s="5">
        <v>38</v>
      </c>
      <c r="M27" s="5">
        <v>7.79</v>
      </c>
      <c r="N27" s="8">
        <v>106</v>
      </c>
      <c r="O27" s="8">
        <v>33</v>
      </c>
      <c r="P27" s="8">
        <v>17.260000000000002</v>
      </c>
      <c r="Q27" s="9">
        <f t="shared" si="1"/>
        <v>-6.6354972222222219</v>
      </c>
      <c r="R27">
        <f t="shared" si="7"/>
        <v>106.55479444444444</v>
      </c>
      <c r="S27">
        <f t="shared" si="8"/>
        <v>-0.11581127403471562</v>
      </c>
      <c r="T27" s="1">
        <v>414</v>
      </c>
      <c r="U27">
        <f t="shared" si="2"/>
        <v>-8.8000000000000007</v>
      </c>
      <c r="V27">
        <f t="shared" si="9"/>
        <v>422.8</v>
      </c>
      <c r="W27">
        <f t="shared" si="18"/>
        <v>-10.199999999999989</v>
      </c>
      <c r="X27">
        <f t="shared" si="19"/>
        <v>386.31900000000002</v>
      </c>
      <c r="Y27">
        <f t="shared" si="10"/>
        <v>0.51281604537085113</v>
      </c>
      <c r="Z27">
        <f t="shared" si="11"/>
        <v>978101.04439928918</v>
      </c>
      <c r="AA27">
        <f t="shared" si="12"/>
        <v>119.1794115</v>
      </c>
      <c r="AB27" s="7">
        <f t="shared" si="13"/>
        <v>112.21807887755016</v>
      </c>
      <c r="AC27">
        <f t="shared" si="14"/>
        <v>43.167091900499997</v>
      </c>
      <c r="AD27" s="2">
        <v>-3</v>
      </c>
      <c r="AE27" s="2">
        <v>-2</v>
      </c>
      <c r="AF27" s="2">
        <v>2</v>
      </c>
      <c r="AG27" s="2">
        <v>3</v>
      </c>
      <c r="AH27">
        <f t="shared" si="15"/>
        <v>3.8655831353907356E-2</v>
      </c>
      <c r="AI27">
        <f t="shared" si="15"/>
        <v>2.0384653162369731E-2</v>
      </c>
      <c r="AJ27">
        <f t="shared" si="15"/>
        <v>2.0384653162369731E-2</v>
      </c>
      <c r="AK27">
        <f t="shared" si="15"/>
        <v>3.8655831353907356E-2</v>
      </c>
      <c r="AL27">
        <f t="shared" si="16"/>
        <v>0.11808096903255416</v>
      </c>
      <c r="AM27" s="7">
        <f t="shared" si="17"/>
        <v>68.656251900711851</v>
      </c>
    </row>
    <row r="28" spans="2:39" x14ac:dyDescent="0.25">
      <c r="B28" s="1">
        <v>4</v>
      </c>
      <c r="C28" s="16">
        <f>(12*60)+34</f>
        <v>754</v>
      </c>
      <c r="D28">
        <v>3491.2159999999999</v>
      </c>
      <c r="E28">
        <v>0</v>
      </c>
      <c r="F28">
        <f t="shared" si="3"/>
        <v>3491.2159999999999</v>
      </c>
      <c r="G28">
        <f t="shared" si="0"/>
        <v>7.915789473688499E-2</v>
      </c>
      <c r="H28">
        <f t="shared" si="4"/>
        <v>3491.136842105263</v>
      </c>
      <c r="I28" s="5">
        <f t="shared" si="5"/>
        <v>2.4318421052630583</v>
      </c>
      <c r="J28" s="7">
        <f t="shared" si="6"/>
        <v>978093.83984210528</v>
      </c>
      <c r="K28" s="5">
        <v>6</v>
      </c>
      <c r="L28" s="5">
        <v>38</v>
      </c>
      <c r="M28" s="5">
        <v>6.32</v>
      </c>
      <c r="N28" s="8">
        <v>106</v>
      </c>
      <c r="O28" s="8">
        <v>33</v>
      </c>
      <c r="P28" s="8">
        <v>16.38</v>
      </c>
      <c r="Q28" s="9">
        <f t="shared" si="1"/>
        <v>-6.6350888888888884</v>
      </c>
      <c r="R28">
        <f t="shared" si="7"/>
        <v>106.55454999999999</v>
      </c>
      <c r="S28">
        <f t="shared" si="8"/>
        <v>-0.1158041472736033</v>
      </c>
      <c r="T28" s="1">
        <v>412</v>
      </c>
      <c r="U28">
        <f t="shared" si="2"/>
        <v>-10.105263157894736</v>
      </c>
      <c r="V28">
        <f t="shared" si="9"/>
        <v>422.10526315789474</v>
      </c>
      <c r="W28">
        <f t="shared" si="18"/>
        <v>-10.89473684210526</v>
      </c>
      <c r="X28">
        <f t="shared" si="19"/>
        <v>385.62426315789475</v>
      </c>
      <c r="Y28">
        <f t="shared" si="10"/>
        <v>0.51198845732314313</v>
      </c>
      <c r="Z28">
        <f t="shared" si="11"/>
        <v>978101.03591539664</v>
      </c>
      <c r="AA28">
        <f t="shared" si="12"/>
        <v>118.96508518421052</v>
      </c>
      <c r="AB28" s="7">
        <f t="shared" si="13"/>
        <v>111.76901189285292</v>
      </c>
      <c r="AC28">
        <f t="shared" si="14"/>
        <v>43.08946235313158</v>
      </c>
      <c r="AD28" s="2">
        <v>-4</v>
      </c>
      <c r="AE28" s="2">
        <v>-3</v>
      </c>
      <c r="AF28" s="2">
        <v>4</v>
      </c>
      <c r="AG28" s="2">
        <v>4</v>
      </c>
      <c r="AH28">
        <f t="shared" si="15"/>
        <v>5.8077564065738108E-2</v>
      </c>
      <c r="AI28">
        <f t="shared" si="15"/>
        <v>3.8655831353907356E-2</v>
      </c>
      <c r="AJ28">
        <f t="shared" si="15"/>
        <v>5.8077564065738108E-2</v>
      </c>
      <c r="AK28">
        <f t="shared" si="15"/>
        <v>5.8077564065738108E-2</v>
      </c>
      <c r="AL28">
        <f t="shared" si="16"/>
        <v>0.21288852355112167</v>
      </c>
      <c r="AM28" s="7">
        <f t="shared" si="17"/>
        <v>68.380449605949309</v>
      </c>
    </row>
    <row r="29" spans="2:39" x14ac:dyDescent="0.25">
      <c r="B29" s="1">
        <v>3</v>
      </c>
      <c r="C29" s="16">
        <f>(12*60)+39</f>
        <v>759</v>
      </c>
      <c r="D29">
        <v>3489.2930000000001</v>
      </c>
      <c r="E29">
        <v>0</v>
      </c>
      <c r="F29">
        <f t="shared" si="3"/>
        <v>3489.2930000000001</v>
      </c>
      <c r="G29">
        <f t="shared" si="0"/>
        <v>8.0807017543903431E-2</v>
      </c>
      <c r="H29">
        <f t="shared" si="4"/>
        <v>3489.2121929824561</v>
      </c>
      <c r="I29" s="5">
        <f t="shared" si="5"/>
        <v>0.50719298245621758</v>
      </c>
      <c r="J29" s="7">
        <f t="shared" si="6"/>
        <v>978091.91519298253</v>
      </c>
      <c r="K29" s="5">
        <v>6</v>
      </c>
      <c r="L29" s="5">
        <v>38</v>
      </c>
      <c r="M29" s="5">
        <v>4.54</v>
      </c>
      <c r="N29" s="8">
        <v>106</v>
      </c>
      <c r="O29" s="8">
        <v>33</v>
      </c>
      <c r="P29" s="8">
        <v>16.079999999999998</v>
      </c>
      <c r="Q29" s="9">
        <f t="shared" si="1"/>
        <v>-6.6345944444444438</v>
      </c>
      <c r="R29">
        <f t="shared" si="7"/>
        <v>106.55446666666667</v>
      </c>
      <c r="S29">
        <f t="shared" si="8"/>
        <v>-0.11579551759007956</v>
      </c>
      <c r="T29" s="1">
        <v>420</v>
      </c>
      <c r="U29">
        <f t="shared" si="2"/>
        <v>-10.315789473684211</v>
      </c>
      <c r="V29">
        <f t="shared" si="9"/>
        <v>430.31578947368422</v>
      </c>
      <c r="W29">
        <f t="shared" si="18"/>
        <v>-2.6842105263157805</v>
      </c>
      <c r="X29">
        <f t="shared" si="19"/>
        <v>393.83478947368422</v>
      </c>
      <c r="Y29">
        <f t="shared" si="10"/>
        <v>0.52174724668028105</v>
      </c>
      <c r="Z29">
        <f t="shared" si="11"/>
        <v>978101.02564307</v>
      </c>
      <c r="AA29">
        <f t="shared" si="12"/>
        <v>121.49803255263159</v>
      </c>
      <c r="AB29" s="7">
        <f t="shared" si="13"/>
        <v>112.38758246516717</v>
      </c>
      <c r="AC29">
        <f t="shared" si="14"/>
        <v>44.006902458394734</v>
      </c>
      <c r="AD29" s="2">
        <v>4</v>
      </c>
      <c r="AE29" s="2">
        <v>-5</v>
      </c>
      <c r="AF29" s="2">
        <v>-4</v>
      </c>
      <c r="AG29" s="2">
        <v>3</v>
      </c>
      <c r="AH29">
        <f t="shared" si="15"/>
        <v>5.8077564065738108E-2</v>
      </c>
      <c r="AI29">
        <f t="shared" si="15"/>
        <v>7.7480378373566541E-2</v>
      </c>
      <c r="AJ29">
        <f t="shared" si="15"/>
        <v>5.8077564065738108E-2</v>
      </c>
      <c r="AK29">
        <f t="shared" si="15"/>
        <v>3.8655831353907356E-2</v>
      </c>
      <c r="AL29">
        <f t="shared" si="16"/>
        <v>0.23229133785895009</v>
      </c>
      <c r="AM29" s="7">
        <f t="shared" si="17"/>
        <v>68.091224097951113</v>
      </c>
    </row>
    <row r="30" spans="2:39" x14ac:dyDescent="0.25">
      <c r="B30" s="1">
        <v>2</v>
      </c>
      <c r="C30" s="16">
        <f>(12*60)+45</f>
        <v>765</v>
      </c>
      <c r="D30">
        <v>3486.5349999999999</v>
      </c>
      <c r="E30">
        <v>0</v>
      </c>
      <c r="F30">
        <f t="shared" si="3"/>
        <v>3486.5349999999999</v>
      </c>
      <c r="G30">
        <f t="shared" si="0"/>
        <v>8.2785964912325552E-2</v>
      </c>
      <c r="H30">
        <f t="shared" si="4"/>
        <v>3486.4522140350873</v>
      </c>
      <c r="I30" s="5">
        <f t="shared" si="5"/>
        <v>-2.2527859649126185</v>
      </c>
      <c r="J30" s="7">
        <f t="shared" si="6"/>
        <v>978089.15521403519</v>
      </c>
      <c r="K30" s="5">
        <v>6</v>
      </c>
      <c r="L30" s="5">
        <v>38</v>
      </c>
      <c r="M30" s="5">
        <v>3.32</v>
      </c>
      <c r="N30" s="8">
        <v>106</v>
      </c>
      <c r="O30" s="8">
        <v>33</v>
      </c>
      <c r="P30" s="8">
        <v>14.62</v>
      </c>
      <c r="Q30" s="9">
        <f t="shared" si="1"/>
        <v>-6.6342555555555549</v>
      </c>
      <c r="R30">
        <f t="shared" si="7"/>
        <v>106.55406111111111</v>
      </c>
      <c r="S30">
        <f t="shared" si="8"/>
        <v>-0.11578960286317001</v>
      </c>
      <c r="T30" s="1">
        <v>430</v>
      </c>
      <c r="U30">
        <f t="shared" si="2"/>
        <v>-10.56842105263158</v>
      </c>
      <c r="V30">
        <f t="shared" si="9"/>
        <v>440.56842105263161</v>
      </c>
      <c r="W30">
        <f t="shared" si="18"/>
        <v>7.5684210526316065</v>
      </c>
      <c r="X30">
        <f t="shared" si="19"/>
        <v>404.08742105263161</v>
      </c>
      <c r="Y30">
        <f t="shared" si="10"/>
        <v>0.53386635928267734</v>
      </c>
      <c r="Z30">
        <f t="shared" si="11"/>
        <v>978101.0186029207</v>
      </c>
      <c r="AA30">
        <f t="shared" si="12"/>
        <v>124.66096939473685</v>
      </c>
      <c r="AB30" s="7">
        <f t="shared" si="13"/>
        <v>112.79758050922577</v>
      </c>
      <c r="AC30">
        <f t="shared" si="14"/>
        <v>45.152526384710526</v>
      </c>
      <c r="AD30" s="2">
        <v>4</v>
      </c>
      <c r="AE30" s="2">
        <v>-5</v>
      </c>
      <c r="AF30" s="2">
        <v>-3</v>
      </c>
      <c r="AG30" s="2">
        <v>4</v>
      </c>
      <c r="AH30">
        <f t="shared" si="15"/>
        <v>5.8077564065738108E-2</v>
      </c>
      <c r="AI30">
        <f t="shared" si="15"/>
        <v>7.7480378373566541E-2</v>
      </c>
      <c r="AJ30">
        <f t="shared" si="15"/>
        <v>3.8655831353907356E-2</v>
      </c>
      <c r="AK30">
        <f t="shared" si="15"/>
        <v>5.8077564065738108E-2</v>
      </c>
      <c r="AL30">
        <f t="shared" si="16"/>
        <v>0.23229133785895009</v>
      </c>
      <c r="AM30" s="7">
        <f t="shared" si="17"/>
        <v>67.343479103091511</v>
      </c>
    </row>
    <row r="31" spans="2:39" x14ac:dyDescent="0.25">
      <c r="B31" s="1">
        <v>1</v>
      </c>
      <c r="C31" s="16">
        <f>(12*60)+5</f>
        <v>725</v>
      </c>
      <c r="D31">
        <v>3485.6120000000001</v>
      </c>
      <c r="E31">
        <v>0</v>
      </c>
      <c r="F31">
        <f t="shared" si="3"/>
        <v>3485.6120000000001</v>
      </c>
      <c r="G31">
        <f t="shared" si="0"/>
        <v>6.9592982456178051E-2</v>
      </c>
      <c r="H31">
        <f t="shared" si="4"/>
        <v>3485.5424070175441</v>
      </c>
      <c r="I31" s="5">
        <f t="shared" si="5"/>
        <v>-3.1625929824558625</v>
      </c>
      <c r="J31" s="7">
        <f t="shared" si="6"/>
        <v>978088.24540701765</v>
      </c>
      <c r="K31" s="5">
        <v>6</v>
      </c>
      <c r="L31" s="5">
        <v>38</v>
      </c>
      <c r="M31" s="5">
        <v>1.53</v>
      </c>
      <c r="N31" s="8">
        <v>106</v>
      </c>
      <c r="O31" s="8">
        <v>33</v>
      </c>
      <c r="P31" s="8">
        <v>14.46</v>
      </c>
      <c r="Q31" s="9">
        <f t="shared" si="1"/>
        <v>-6.6337583333333328</v>
      </c>
      <c r="R31">
        <f t="shared" si="7"/>
        <v>106.55401666666667</v>
      </c>
      <c r="S31">
        <f t="shared" si="8"/>
        <v>-0.11578092469827816</v>
      </c>
      <c r="T31" s="1">
        <v>433</v>
      </c>
      <c r="U31">
        <f t="shared" si="2"/>
        <v>-8.8842105263157887</v>
      </c>
      <c r="V31">
        <f t="shared" si="9"/>
        <v>441.88421052631577</v>
      </c>
      <c r="W31">
        <f t="shared" si="18"/>
        <v>8.8842105263157691</v>
      </c>
      <c r="X31">
        <f t="shared" si="19"/>
        <v>405.40321052631577</v>
      </c>
      <c r="Y31">
        <f t="shared" si="10"/>
        <v>0.53541631033645753</v>
      </c>
      <c r="Z31">
        <f t="shared" si="11"/>
        <v>978101.00827416091</v>
      </c>
      <c r="AA31">
        <f t="shared" si="12"/>
        <v>125.06689044736841</v>
      </c>
      <c r="AB31" s="7">
        <f t="shared" si="13"/>
        <v>112.30402330410716</v>
      </c>
      <c r="AC31">
        <f t="shared" si="14"/>
        <v>45.299552042605256</v>
      </c>
      <c r="AD31" s="2">
        <v>-4</v>
      </c>
      <c r="AE31" s="2">
        <v>-5</v>
      </c>
      <c r="AF31" s="2">
        <v>4</v>
      </c>
      <c r="AG31" s="2">
        <v>3</v>
      </c>
      <c r="AH31">
        <f t="shared" si="15"/>
        <v>5.8077564065738108E-2</v>
      </c>
      <c r="AI31">
        <f t="shared" si="15"/>
        <v>7.7480378373566541E-2</v>
      </c>
      <c r="AJ31">
        <f t="shared" si="15"/>
        <v>5.8077564065738108E-2</v>
      </c>
      <c r="AK31">
        <f t="shared" si="15"/>
        <v>3.8655831353907356E-2</v>
      </c>
      <c r="AL31">
        <f t="shared" si="16"/>
        <v>0.23229133785895009</v>
      </c>
      <c r="AM31" s="7">
        <f t="shared" si="17"/>
        <v>66.7013462890244</v>
      </c>
    </row>
    <row r="32" spans="2:39" x14ac:dyDescent="0.25">
      <c r="B32" s="1" t="s">
        <v>3</v>
      </c>
      <c r="C32" s="16">
        <f>(13*60)+19</f>
        <v>799</v>
      </c>
      <c r="D32">
        <v>3488.799</v>
      </c>
      <c r="E32">
        <v>0</v>
      </c>
      <c r="F32">
        <f t="shared" si="3"/>
        <v>3488.799</v>
      </c>
      <c r="G32">
        <f t="shared" si="0"/>
        <v>9.4000000000050932E-2</v>
      </c>
      <c r="H32">
        <f t="shared" si="4"/>
        <v>3488.7049999999999</v>
      </c>
      <c r="I32" s="5">
        <f t="shared" si="5"/>
        <v>0</v>
      </c>
      <c r="J32" s="7">
        <f t="shared" si="6"/>
        <v>978091.40800000005</v>
      </c>
      <c r="K32" s="5">
        <v>6</v>
      </c>
      <c r="L32" s="5">
        <v>38</v>
      </c>
      <c r="M32" s="5">
        <v>26.89</v>
      </c>
      <c r="N32" s="8">
        <v>106</v>
      </c>
      <c r="O32" s="8">
        <v>33</v>
      </c>
      <c r="P32" s="8">
        <v>47.06</v>
      </c>
      <c r="Q32" s="9">
        <f t="shared" si="1"/>
        <v>-6.6408027777777772</v>
      </c>
      <c r="R32">
        <f t="shared" si="7"/>
        <v>106.56307222222222</v>
      </c>
      <c r="S32">
        <f t="shared" si="8"/>
        <v>-0.11590387344780753</v>
      </c>
      <c r="T32" s="1">
        <v>421</v>
      </c>
      <c r="U32">
        <f t="shared" si="2"/>
        <v>-12</v>
      </c>
      <c r="V32">
        <f t="shared" si="9"/>
        <v>433</v>
      </c>
      <c r="W32">
        <f t="shared" si="18"/>
        <v>0</v>
      </c>
      <c r="X32">
        <v>396.51900000000001</v>
      </c>
      <c r="Y32">
        <f t="shared" si="10"/>
        <v>0.52492729067563015</v>
      </c>
      <c r="Z32">
        <f t="shared" si="11"/>
        <v>978101.1546787906</v>
      </c>
      <c r="AA32">
        <f t="shared" si="12"/>
        <v>122.3261115</v>
      </c>
      <c r="AB32" s="7">
        <f t="shared" si="13"/>
        <v>112.57943270945677</v>
      </c>
      <c r="AC32">
        <f t="shared" si="14"/>
        <v>44.306834800499999</v>
      </c>
      <c r="AD32" s="19">
        <v>3</v>
      </c>
      <c r="AE32" s="19">
        <v>5</v>
      </c>
      <c r="AF32" s="19">
        <v>3</v>
      </c>
      <c r="AG32" s="19">
        <v>-2</v>
      </c>
      <c r="AH32">
        <f t="shared" si="15"/>
        <v>3.8655831353907356E-2</v>
      </c>
      <c r="AI32">
        <f t="shared" si="15"/>
        <v>7.7480378373566541E-2</v>
      </c>
      <c r="AJ32">
        <f t="shared" si="15"/>
        <v>3.8655831353907356E-2</v>
      </c>
      <c r="AK32">
        <f t="shared" si="15"/>
        <v>2.0384653162369731E-2</v>
      </c>
      <c r="AL32">
        <f t="shared" si="16"/>
        <v>0.17517669424375099</v>
      </c>
      <c r="AM32" s="7">
        <f t="shared" si="17"/>
        <v>67.92284731252488</v>
      </c>
    </row>
  </sheetData>
  <mergeCells count="29">
    <mergeCell ref="AM1:AM3"/>
    <mergeCell ref="K2:M2"/>
    <mergeCell ref="N2:P2"/>
    <mergeCell ref="Q2:Q3"/>
    <mergeCell ref="R2:R3"/>
    <mergeCell ref="AA1:AA3"/>
    <mergeCell ref="AB1:AB3"/>
    <mergeCell ref="AC1:AC3"/>
    <mergeCell ref="AD1:AG2"/>
    <mergeCell ref="AH1:AK2"/>
    <mergeCell ref="AL1:AL3"/>
    <mergeCell ref="T1:T2"/>
    <mergeCell ref="U1:U2"/>
    <mergeCell ref="V1:V2"/>
    <mergeCell ref="W1:W2"/>
    <mergeCell ref="Y1:Y3"/>
    <mergeCell ref="Z1:Z3"/>
    <mergeCell ref="G1:G2"/>
    <mergeCell ref="H1:H2"/>
    <mergeCell ref="I1:I3"/>
    <mergeCell ref="J1:J2"/>
    <mergeCell ref="K1:R1"/>
    <mergeCell ref="S1:S2"/>
    <mergeCell ref="F1:F2"/>
    <mergeCell ref="A1:A3"/>
    <mergeCell ref="B1:B3"/>
    <mergeCell ref="C1:C2"/>
    <mergeCell ref="D1:D3"/>
    <mergeCell ref="E1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290613</vt:lpstr>
      <vt:lpstr>300613</vt:lpstr>
      <vt:lpstr>020713</vt:lpstr>
      <vt:lpstr>030713</vt:lpstr>
      <vt:lpstr>040713</vt:lpstr>
      <vt:lpstr>060713</vt:lpstr>
      <vt:lpstr>070713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jantan</dc:creator>
  <cp:lastModifiedBy>kozak</cp:lastModifiedBy>
  <dcterms:created xsi:type="dcterms:W3CDTF">2014-02-05T00:23:29Z</dcterms:created>
  <dcterms:modified xsi:type="dcterms:W3CDTF">2014-02-19T01:41:34Z</dcterms:modified>
</cp:coreProperties>
</file>