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75" firstSheet="1" activeTab="1"/>
  </bookViews>
  <sheets>
    <sheet name="Gagal" sheetId="1" r:id="rId1"/>
    <sheet name="Perhitungan benar" sheetId="2" r:id="rId2"/>
    <sheet name="Ringkasan usaha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2"/>
  <c r="B14" i="3"/>
  <c r="B13"/>
  <c r="B5"/>
  <c r="B4"/>
  <c r="V13" i="2"/>
  <c r="AA12"/>
  <c r="H21" l="1"/>
  <c r="H20"/>
  <c r="H22" l="1"/>
  <c r="X24" i="1"/>
  <c r="AL8" i="2"/>
  <c r="AL7"/>
  <c r="AL6"/>
  <c r="AL5"/>
  <c r="AL4"/>
  <c r="AL3"/>
  <c r="AA6"/>
  <c r="AA5"/>
  <c r="AA4"/>
  <c r="D28"/>
  <c r="H13" s="1"/>
  <c r="I13" s="1"/>
  <c r="G13"/>
  <c r="Q7"/>
  <c r="Q6"/>
  <c r="Q5"/>
  <c r="Q4"/>
  <c r="Q3"/>
  <c r="I7"/>
  <c r="I6"/>
  <c r="I5"/>
  <c r="I4"/>
  <c r="I3"/>
  <c r="M7"/>
  <c r="M6"/>
  <c r="M5"/>
  <c r="M4"/>
  <c r="M3"/>
  <c r="N7"/>
  <c r="N6"/>
  <c r="N5"/>
  <c r="N4"/>
  <c r="O4" s="1"/>
  <c r="P4" s="1"/>
  <c r="N3"/>
  <c r="H7"/>
  <c r="H6"/>
  <c r="H5"/>
  <c r="H4"/>
  <c r="H3"/>
  <c r="I15" l="1"/>
  <c r="AA11" s="1"/>
  <c r="O7"/>
  <c r="P7" s="1"/>
  <c r="H15"/>
  <c r="Z11" s="1"/>
  <c r="R4"/>
  <c r="AL9"/>
  <c r="R7"/>
  <c r="J4"/>
  <c r="O5"/>
  <c r="P5" s="1"/>
  <c r="R5" s="1"/>
  <c r="O6"/>
  <c r="P6" s="1"/>
  <c r="R6" s="1"/>
  <c r="O3"/>
  <c r="P3" s="1"/>
  <c r="R3" s="1"/>
  <c r="J7"/>
  <c r="J6"/>
  <c r="J5"/>
  <c r="J3"/>
  <c r="M30" i="1"/>
  <c r="M31"/>
  <c r="R31" s="1"/>
  <c r="M32"/>
  <c r="R32" s="1"/>
  <c r="M33"/>
  <c r="R33" s="1"/>
  <c r="M29"/>
  <c r="R29" s="1"/>
  <c r="R30"/>
  <c r="W12"/>
  <c r="V12"/>
  <c r="V14" s="1"/>
  <c r="W4"/>
  <c r="W5"/>
  <c r="W3"/>
  <c r="V7"/>
  <c r="AC4"/>
  <c r="AC5"/>
  <c r="AC6"/>
  <c r="AC7"/>
  <c r="AC8"/>
  <c r="AC3"/>
  <c r="R14"/>
  <c r="N19"/>
  <c r="N18"/>
  <c r="N20" s="1"/>
  <c r="M20"/>
  <c r="AC9" l="1"/>
  <c r="AH3" i="2"/>
  <c r="AA7"/>
  <c r="R8"/>
  <c r="R9" s="1"/>
  <c r="AE2" s="1"/>
  <c r="J8"/>
  <c r="W7" i="1"/>
  <c r="W14" s="1"/>
  <c r="R34"/>
  <c r="R35" s="1"/>
  <c r="F21"/>
  <c r="F22"/>
  <c r="F23"/>
  <c r="F24"/>
  <c r="F20"/>
  <c r="U35" l="1"/>
  <c r="Z7" i="2"/>
  <c r="Z8" s="1"/>
  <c r="AA8"/>
  <c r="J9"/>
  <c r="Z10"/>
  <c r="Z13" s="1"/>
  <c r="H34" i="1"/>
  <c r="F25"/>
  <c r="Z15" i="2" l="1"/>
  <c r="AA10"/>
  <c r="AA13" s="1"/>
  <c r="AA15" s="1"/>
  <c r="AE3" s="1"/>
  <c r="AE4" s="1"/>
  <c r="H25" i="1"/>
  <c r="F26"/>
  <c r="AE5" i="2" l="1"/>
  <c r="AE6" s="1"/>
  <c r="AE7" s="1"/>
  <c r="V14"/>
  <c r="M29" s="1"/>
  <c r="I20"/>
  <c r="J20" s="1"/>
  <c r="I21"/>
  <c r="AH2" l="1"/>
  <c r="AH4" s="1"/>
  <c r="P22" s="1"/>
  <c r="M12"/>
  <c r="I22"/>
  <c r="J21"/>
  <c r="J22" s="1"/>
  <c r="M13" l="1"/>
  <c r="M14" s="1"/>
  <c r="M15" s="1"/>
  <c r="R34" s="1"/>
  <c r="P25"/>
  <c r="P23"/>
  <c r="M32" s="1"/>
  <c r="P24"/>
  <c r="Q24" s="1"/>
  <c r="P21"/>
  <c r="M30" s="1"/>
  <c r="M33"/>
  <c r="Q22"/>
  <c r="M31"/>
  <c r="Q25"/>
  <c r="M34"/>
  <c r="Q21" l="1"/>
  <c r="Q26" s="1"/>
  <c r="R26" s="1"/>
  <c r="Q23"/>
  <c r="M35"/>
  <c r="M36" s="1"/>
  <c r="R33" s="1"/>
  <c r="Q27" l="1"/>
  <c r="R32" s="1"/>
</calcChain>
</file>

<file path=xl/sharedStrings.xml><?xml version="1.0" encoding="utf-8"?>
<sst xmlns="http://schemas.openxmlformats.org/spreadsheetml/2006/main" count="346" uniqueCount="162">
  <si>
    <t>NO</t>
  </si>
  <si>
    <t>ASUMSI</t>
  </si>
  <si>
    <t>SATUAN</t>
  </si>
  <si>
    <t>JUMLAH</t>
  </si>
  <si>
    <t>Periode</t>
  </si>
  <si>
    <t>Tahun</t>
  </si>
  <si>
    <t>Bulan kerja</t>
  </si>
  <si>
    <t>Bulan</t>
  </si>
  <si>
    <t>Tenaga Kerja</t>
  </si>
  <si>
    <t>Tetap</t>
  </si>
  <si>
    <t>Tidak tetap</t>
  </si>
  <si>
    <t>Orang</t>
  </si>
  <si>
    <t>Produksi</t>
  </si>
  <si>
    <t>Gol I</t>
  </si>
  <si>
    <t>Gol II</t>
  </si>
  <si>
    <t>Gol III</t>
  </si>
  <si>
    <t>Gol IV</t>
  </si>
  <si>
    <t>Gol V</t>
  </si>
  <si>
    <t>Margin</t>
  </si>
  <si>
    <t>%</t>
  </si>
  <si>
    <t>Unit/bulan</t>
  </si>
  <si>
    <t>Persiapan (perijinan dll)</t>
  </si>
  <si>
    <t>Fasilitas</t>
  </si>
  <si>
    <t>Komputer</t>
  </si>
  <si>
    <t>Laptop</t>
  </si>
  <si>
    <t>Etalase</t>
  </si>
  <si>
    <t>Keterangan</t>
  </si>
  <si>
    <t>Kursi</t>
  </si>
  <si>
    <t>Subtotal</t>
  </si>
  <si>
    <t>margin</t>
  </si>
  <si>
    <t>total</t>
  </si>
  <si>
    <t>tetap</t>
  </si>
  <si>
    <t>I orang</t>
  </si>
  <si>
    <t>Jumlah Karyawan</t>
  </si>
  <si>
    <t>Gaji/bulan</t>
  </si>
  <si>
    <t>Gaji/tahun</t>
  </si>
  <si>
    <t>Total</t>
  </si>
  <si>
    <t>tidak tetap</t>
  </si>
  <si>
    <t>Jenis</t>
  </si>
  <si>
    <t>Satuan</t>
  </si>
  <si>
    <t>Jumlah</t>
  </si>
  <si>
    <t>Total/bulan</t>
  </si>
  <si>
    <t>Harga</t>
  </si>
  <si>
    <t>Total/tahun</t>
  </si>
  <si>
    <t xml:space="preserve">Pembelian </t>
  </si>
  <si>
    <t>Jenis Biaya</t>
  </si>
  <si>
    <t>Investasi awal</t>
  </si>
  <si>
    <t>A</t>
  </si>
  <si>
    <t>2 unit</t>
  </si>
  <si>
    <t>6 unit</t>
  </si>
  <si>
    <t>B</t>
  </si>
  <si>
    <t>Biaya modal kerja awal</t>
  </si>
  <si>
    <t>Pembelian produk</t>
  </si>
  <si>
    <t>Bangunan(renovasi)</t>
  </si>
  <si>
    <t>Nilai</t>
  </si>
  <si>
    <t>per tahun</t>
  </si>
  <si>
    <t>paket</t>
  </si>
  <si>
    <t>Komputer dan program</t>
  </si>
  <si>
    <t>Total Investasi</t>
  </si>
  <si>
    <t>Biaya Tetap:</t>
  </si>
  <si>
    <t>Bulan(Rp)</t>
  </si>
  <si>
    <t>Tahun(Rp)</t>
  </si>
  <si>
    <t>Kebutuhan listrik</t>
  </si>
  <si>
    <t>Kebutuhan internet</t>
  </si>
  <si>
    <t>Lain-lain</t>
  </si>
  <si>
    <t>Penyusutan</t>
  </si>
  <si>
    <t>Penyusutan dalam lima tahun</t>
  </si>
  <si>
    <t>Meja</t>
  </si>
  <si>
    <t xml:space="preserve">Kursi </t>
  </si>
  <si>
    <t>1 Unit</t>
  </si>
  <si>
    <t>Biaya Variabel</t>
  </si>
  <si>
    <t>Gaji karyawan</t>
  </si>
  <si>
    <t>3 orang</t>
  </si>
  <si>
    <t>Promosi</t>
  </si>
  <si>
    <t>Total biaya operasional</t>
  </si>
  <si>
    <t>Laba</t>
  </si>
  <si>
    <t>laba kotor</t>
  </si>
  <si>
    <t>Penjualan produk</t>
  </si>
  <si>
    <t>Margin(Rp)</t>
  </si>
  <si>
    <t>Margin (%)</t>
  </si>
  <si>
    <t>Harga Jual</t>
  </si>
  <si>
    <t>Harga beli</t>
  </si>
  <si>
    <t>Penjualan</t>
  </si>
  <si>
    <t>Hari kerja</t>
  </si>
  <si>
    <t>Hari/bulan</t>
  </si>
  <si>
    <t>Karyawan tetap</t>
  </si>
  <si>
    <t>Jenis karyawan</t>
  </si>
  <si>
    <t>Penggajian</t>
  </si>
  <si>
    <t>Harga beli produk</t>
  </si>
  <si>
    <t>Rp</t>
  </si>
  <si>
    <t xml:space="preserve"> Gol I</t>
  </si>
  <si>
    <t xml:space="preserve"> Gol II</t>
  </si>
  <si>
    <t xml:space="preserve"> Gol III</t>
  </si>
  <si>
    <t xml:space="preserve"> Gol IV</t>
  </si>
  <si>
    <t xml:space="preserve"> Gol V</t>
  </si>
  <si>
    <t>Rp/hari</t>
  </si>
  <si>
    <t>Rp/bulan</t>
  </si>
  <si>
    <t>Pendapatan</t>
  </si>
  <si>
    <t>Biaya operasional</t>
  </si>
  <si>
    <t>Biaya Operasional</t>
  </si>
  <si>
    <t>Laba sebelum pajak</t>
  </si>
  <si>
    <t>Laba setelah pajak</t>
  </si>
  <si>
    <t>Proceed/cashflow</t>
  </si>
  <si>
    <t>Payback period</t>
  </si>
  <si>
    <t>Investasi</t>
  </si>
  <si>
    <t>Pendapatan bersih</t>
  </si>
  <si>
    <t>PBR</t>
  </si>
  <si>
    <t>Perkiraan penjualan</t>
  </si>
  <si>
    <t xml:space="preserve"> Tahun I</t>
  </si>
  <si>
    <t xml:space="preserve"> Tahun II</t>
  </si>
  <si>
    <t xml:space="preserve"> Tahun III</t>
  </si>
  <si>
    <t xml:space="preserve"> Tahun IV</t>
  </si>
  <si>
    <t xml:space="preserve"> Tahun V</t>
  </si>
  <si>
    <t>NPV asumsi 10%</t>
  </si>
  <si>
    <t>DF 10%</t>
  </si>
  <si>
    <t>Proceed</t>
  </si>
  <si>
    <t>PV</t>
  </si>
  <si>
    <t>IRR</t>
  </si>
  <si>
    <t>Alokasi modal</t>
  </si>
  <si>
    <t>Modal sendiri</t>
  </si>
  <si>
    <t>Komponen biaya</t>
  </si>
  <si>
    <t>Modal pinjaman</t>
  </si>
  <si>
    <t>Porsi</t>
  </si>
  <si>
    <t>Besarnya</t>
  </si>
  <si>
    <t>Investasi barang</t>
  </si>
  <si>
    <t>Investasi modal kerja</t>
  </si>
  <si>
    <t>Kondisi</t>
  </si>
  <si>
    <t>Kategori</t>
  </si>
  <si>
    <t>Nilai Asli</t>
  </si>
  <si>
    <t>Proceeds</t>
  </si>
  <si>
    <t>Kelayakan</t>
  </si>
  <si>
    <t>NPV</t>
  </si>
  <si>
    <t>Justifikasi</t>
  </si>
  <si>
    <t>Lebih besar dari 0 atau investasi</t>
  </si>
  <si>
    <t>Lebih besar dari dsikon faktor</t>
  </si>
  <si>
    <t>Lebih cepat dai periode pinjaman</t>
  </si>
  <si>
    <t>Ringkasan</t>
  </si>
  <si>
    <t>Jenis Usaha</t>
  </si>
  <si>
    <t>Perdagangan peripheral komputer</t>
  </si>
  <si>
    <t>Skala usaha</t>
  </si>
  <si>
    <t>Luas toko 24m persegi</t>
  </si>
  <si>
    <t>Pendapatan bulanan</t>
  </si>
  <si>
    <t>Laba bulanan</t>
  </si>
  <si>
    <t>Dana Investasi</t>
  </si>
  <si>
    <t>Sumber dana</t>
  </si>
  <si>
    <t>Kelayakan usaha</t>
  </si>
  <si>
    <t xml:space="preserve"> Periode proyek</t>
  </si>
  <si>
    <t>5 tahun</t>
  </si>
  <si>
    <t xml:space="preserve"> Produk utama</t>
  </si>
  <si>
    <t>Peripheral premium</t>
  </si>
  <si>
    <t xml:space="preserve"> Pemasaran produk</t>
  </si>
  <si>
    <t>Kalangan peminat dunia gaming</t>
  </si>
  <si>
    <t>Kriteria kelayakan</t>
  </si>
  <si>
    <t xml:space="preserve"> NPV</t>
  </si>
  <si>
    <t xml:space="preserve"> IRR</t>
  </si>
  <si>
    <t xml:space="preserve"> Payback Period</t>
  </si>
  <si>
    <t>Penilaian</t>
  </si>
  <si>
    <t>Layak dilaksanakan</t>
  </si>
  <si>
    <t>Pajak 15%</t>
  </si>
  <si>
    <t>50% modal sendiri</t>
  </si>
  <si>
    <t>50% modal pinjaman</t>
  </si>
  <si>
    <t>3,5 tahun</t>
  </si>
</sst>
</file>

<file path=xl/styles.xml><?xml version="1.0" encoding="utf-8"?>
<styleSheet xmlns="http://schemas.openxmlformats.org/spreadsheetml/2006/main">
  <numFmts count="2">
    <numFmt numFmtId="164" formatCode="[$Rp-421]#,##0"/>
    <numFmt numFmtId="165" formatCode="[$Rp-421]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444444"/>
      <name val="Open Sans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Border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1" fontId="0" fillId="0" borderId="1" xfId="0" applyNumberFormat="1" applyFill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9" fontId="0" fillId="0" borderId="1" xfId="1" applyFont="1" applyBorder="1"/>
    <xf numFmtId="0" fontId="0" fillId="0" borderId="0" xfId="0" applyBorder="1"/>
    <xf numFmtId="0" fontId="0" fillId="0" borderId="0" xfId="0" applyBorder="1" applyAlignment="1"/>
    <xf numFmtId="165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Border="1" applyAlignment="1"/>
    <xf numFmtId="164" fontId="0" fillId="0" borderId="1" xfId="0" applyNumberFormat="1" applyFont="1" applyBorder="1" applyAlignment="1">
      <alignment horizontal="right"/>
    </xf>
    <xf numFmtId="9" fontId="0" fillId="0" borderId="0" xfId="0" applyNumberFormat="1"/>
    <xf numFmtId="0" fontId="2" fillId="0" borderId="0" xfId="0" applyFont="1"/>
    <xf numFmtId="0" fontId="0" fillId="0" borderId="1" xfId="0" applyBorder="1" applyAlignment="1"/>
    <xf numFmtId="0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0" borderId="1" xfId="0" applyNumberFormat="1" applyBorder="1"/>
    <xf numFmtId="164" fontId="0" fillId="2" borderId="1" xfId="0" applyNumberFormat="1" applyFill="1" applyBorder="1"/>
    <xf numFmtId="0" fontId="0" fillId="3" borderId="4" xfId="0" applyFill="1" applyBorder="1"/>
    <xf numFmtId="164" fontId="0" fillId="3" borderId="4" xfId="0" applyNumberFormat="1" applyFill="1" applyBorder="1"/>
    <xf numFmtId="0" fontId="0" fillId="0" borderId="5" xfId="0" applyFill="1" applyBorder="1"/>
    <xf numFmtId="164" fontId="0" fillId="0" borderId="1" xfId="0" applyNumberFormat="1" applyFont="1" applyBorder="1"/>
    <xf numFmtId="3" fontId="0" fillId="0" borderId="1" xfId="0" applyNumberFormat="1" applyBorder="1" applyAlignment="1">
      <alignment horizontal="right"/>
    </xf>
    <xf numFmtId="164" fontId="3" fillId="0" borderId="0" xfId="0" applyNumberFormat="1" applyFont="1"/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180975</xdr:colOff>
      <xdr:row>12</xdr:row>
      <xdr:rowOff>185737</xdr:rowOff>
    </xdr:from>
    <xdr:ext cx="1231876" cy="172227"/>
    <xdr:sp macro="" textlink="">
      <xdr:nvSpPr>
        <xdr:cNvPr id="2" name="TextBox 1"/>
        <xdr:cNvSpPr txBox="1"/>
      </xdr:nvSpPr>
      <xdr:spPr>
        <a:xfrm>
          <a:off x="6286500" y="2481262"/>
          <a:ext cx="123187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100" i="0">
              <a:latin typeface="Cambria Math" panose="02040503050406030204" pitchFamily="18" charset="0"/>
            </a:rPr>
            <a:t>"Type equation here."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opLeftCell="L1" workbookViewId="0">
      <selection activeCell="X25" sqref="X25"/>
    </sheetView>
  </sheetViews>
  <sheetFormatPr defaultRowHeight="15"/>
  <cols>
    <col min="1" max="1" width="3.85546875" bestFit="1" customWidth="1"/>
    <col min="2" max="2" width="12.28515625" bestFit="1" customWidth="1"/>
    <col min="3" max="3" width="10.5703125" bestFit="1" customWidth="1"/>
    <col min="4" max="4" width="8.140625" bestFit="1" customWidth="1"/>
    <col min="6" max="6" width="22.7109375" bestFit="1" customWidth="1"/>
    <col min="7" max="7" width="13.7109375" style="3" bestFit="1" customWidth="1"/>
    <col min="8" max="8" width="11.140625" bestFit="1" customWidth="1"/>
    <col min="11" max="11" width="13.140625" bestFit="1" customWidth="1"/>
    <col min="12" max="12" width="16.42578125" bestFit="1" customWidth="1"/>
    <col min="13" max="13" width="10.28515625" bestFit="1" customWidth="1"/>
    <col min="14" max="14" width="10.42578125" bestFit="1" customWidth="1"/>
    <col min="16" max="16" width="3.85546875" bestFit="1" customWidth="1"/>
    <col min="17" max="17" width="22.7109375" bestFit="1" customWidth="1"/>
    <col min="18" max="18" width="11" bestFit="1" customWidth="1"/>
    <col min="19" max="19" width="11.140625" bestFit="1" customWidth="1"/>
    <col min="21" max="21" width="44.85546875" bestFit="1" customWidth="1"/>
    <col min="22" max="22" width="14" bestFit="1" customWidth="1"/>
    <col min="23" max="23" width="14.85546875" bestFit="1" customWidth="1"/>
    <col min="24" max="24" width="11.140625" bestFit="1" customWidth="1"/>
    <col min="27" max="27" width="27.7109375" bestFit="1" customWidth="1"/>
    <col min="28" max="28" width="12.42578125" bestFit="1" customWidth="1"/>
    <col min="29" max="29" width="11.42578125" bestFit="1" customWidth="1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U1" s="1" t="s">
        <v>45</v>
      </c>
      <c r="V1" s="1" t="s">
        <v>60</v>
      </c>
      <c r="W1" s="1" t="s">
        <v>61</v>
      </c>
      <c r="X1" s="1" t="s">
        <v>26</v>
      </c>
      <c r="AA1" t="s">
        <v>66</v>
      </c>
    </row>
    <row r="2" spans="1:29">
      <c r="A2" s="1">
        <v>1</v>
      </c>
      <c r="B2" s="1" t="s">
        <v>4</v>
      </c>
      <c r="C2" s="2" t="s">
        <v>5</v>
      </c>
      <c r="D2" s="1">
        <v>5</v>
      </c>
      <c r="P2" s="1" t="s">
        <v>0</v>
      </c>
      <c r="Q2" s="2" t="s">
        <v>45</v>
      </c>
      <c r="R2" s="2" t="s">
        <v>54</v>
      </c>
      <c r="S2" s="1" t="s">
        <v>26</v>
      </c>
      <c r="U2" s="1" t="s">
        <v>59</v>
      </c>
      <c r="V2" s="1"/>
      <c r="W2" s="1"/>
      <c r="X2" s="1"/>
    </row>
    <row r="3" spans="1:29">
      <c r="A3" s="1">
        <v>2</v>
      </c>
      <c r="B3" s="1" t="s">
        <v>6</v>
      </c>
      <c r="C3" s="2" t="s">
        <v>7</v>
      </c>
      <c r="D3" s="1">
        <v>12</v>
      </c>
      <c r="P3" s="6" t="s">
        <v>47</v>
      </c>
      <c r="Q3" s="9" t="s">
        <v>46</v>
      </c>
      <c r="R3" s="10"/>
      <c r="S3" s="2"/>
      <c r="U3" s="1" t="s">
        <v>62</v>
      </c>
      <c r="V3" s="16">
        <v>200000</v>
      </c>
      <c r="W3" s="16">
        <f>V3*12</f>
        <v>2400000</v>
      </c>
      <c r="X3" s="1"/>
      <c r="AA3" t="s">
        <v>53</v>
      </c>
      <c r="AB3" s="15">
        <v>25000000</v>
      </c>
      <c r="AC3" s="15">
        <f>SLN(AB3,0,5)</f>
        <v>5000000</v>
      </c>
    </row>
    <row r="4" spans="1:29">
      <c r="A4" s="44">
        <v>3</v>
      </c>
      <c r="B4" s="1" t="s">
        <v>8</v>
      </c>
      <c r="C4" s="1"/>
      <c r="D4" s="1"/>
      <c r="P4" s="1">
        <v>1</v>
      </c>
      <c r="Q4" s="1" t="s">
        <v>21</v>
      </c>
      <c r="R4" s="11">
        <v>10100000</v>
      </c>
      <c r="S4" s="2" t="s">
        <v>56</v>
      </c>
      <c r="U4" s="1" t="s">
        <v>63</v>
      </c>
      <c r="V4" s="16">
        <v>250000</v>
      </c>
      <c r="W4" s="16">
        <f t="shared" ref="W4:W5" si="0">V4*12</f>
        <v>3000000</v>
      </c>
      <c r="X4" s="1"/>
      <c r="AA4" t="s">
        <v>23</v>
      </c>
      <c r="AB4" s="15">
        <v>4000000</v>
      </c>
      <c r="AC4" s="15">
        <f t="shared" ref="AC4:AC8" si="1">SLN(AB4,0,5)</f>
        <v>800000</v>
      </c>
    </row>
    <row r="5" spans="1:29">
      <c r="A5" s="44"/>
      <c r="B5" s="1" t="s">
        <v>9</v>
      </c>
      <c r="C5" s="2" t="s">
        <v>11</v>
      </c>
      <c r="D5" s="1">
        <v>2</v>
      </c>
      <c r="P5" s="1">
        <v>3</v>
      </c>
      <c r="Q5" s="1" t="s">
        <v>53</v>
      </c>
      <c r="R5" s="2">
        <v>25000000</v>
      </c>
      <c r="S5" s="2" t="s">
        <v>56</v>
      </c>
      <c r="U5" s="1" t="s">
        <v>64</v>
      </c>
      <c r="V5" s="16">
        <v>200000</v>
      </c>
      <c r="W5" s="16">
        <f t="shared" si="0"/>
        <v>2400000</v>
      </c>
      <c r="X5" s="1"/>
      <c r="AA5" t="s">
        <v>24</v>
      </c>
      <c r="AB5" s="15">
        <v>4000000</v>
      </c>
      <c r="AC5" s="15">
        <f t="shared" si="1"/>
        <v>800000</v>
      </c>
    </row>
    <row r="6" spans="1:29">
      <c r="A6" s="44"/>
      <c r="B6" s="1" t="s">
        <v>10</v>
      </c>
      <c r="C6" s="2" t="s">
        <v>11</v>
      </c>
      <c r="D6" s="1">
        <v>2</v>
      </c>
      <c r="P6" s="1">
        <v>2</v>
      </c>
      <c r="Q6" s="1" t="s">
        <v>22</v>
      </c>
      <c r="R6" s="10"/>
      <c r="S6" s="1"/>
      <c r="U6" s="1" t="s">
        <v>65</v>
      </c>
      <c r="V6" s="16">
        <v>580000</v>
      </c>
      <c r="W6" s="16">
        <v>6960000</v>
      </c>
      <c r="X6" s="1"/>
      <c r="AA6" t="s">
        <v>25</v>
      </c>
      <c r="AB6" s="15">
        <v>600000</v>
      </c>
      <c r="AC6" s="15">
        <f t="shared" si="1"/>
        <v>120000</v>
      </c>
    </row>
    <row r="7" spans="1:29">
      <c r="A7" s="44">
        <v>4</v>
      </c>
      <c r="B7" s="1" t="s">
        <v>12</v>
      </c>
      <c r="C7" s="2" t="s">
        <v>7</v>
      </c>
      <c r="D7" s="1"/>
      <c r="P7" s="1"/>
      <c r="Q7" s="1" t="s">
        <v>57</v>
      </c>
      <c r="R7" s="10">
        <v>4000000</v>
      </c>
      <c r="S7" s="1"/>
      <c r="U7" s="1" t="s">
        <v>28</v>
      </c>
      <c r="V7" s="16">
        <f>SUM(V3:V6)</f>
        <v>1230000</v>
      </c>
      <c r="W7" s="16">
        <f>SUM(W3:W6)</f>
        <v>14760000</v>
      </c>
      <c r="X7" s="1"/>
      <c r="AA7" t="s">
        <v>27</v>
      </c>
      <c r="AB7" s="15">
        <v>900000</v>
      </c>
      <c r="AC7" s="15">
        <f t="shared" si="1"/>
        <v>180000</v>
      </c>
    </row>
    <row r="8" spans="1:29">
      <c r="A8" s="44"/>
      <c r="B8" s="1" t="s">
        <v>13</v>
      </c>
      <c r="C8" s="2" t="s">
        <v>20</v>
      </c>
      <c r="D8" s="1">
        <v>10</v>
      </c>
      <c r="P8" s="1"/>
      <c r="Q8" s="1" t="s">
        <v>24</v>
      </c>
      <c r="R8" s="10">
        <v>4000000</v>
      </c>
      <c r="S8" s="1"/>
      <c r="U8" s="1" t="s">
        <v>70</v>
      </c>
      <c r="V8" s="16"/>
      <c r="W8" s="16"/>
      <c r="X8" s="1"/>
      <c r="AA8" t="s">
        <v>67</v>
      </c>
      <c r="AB8" s="15">
        <v>300000</v>
      </c>
      <c r="AC8" s="15">
        <f t="shared" si="1"/>
        <v>60000</v>
      </c>
    </row>
    <row r="9" spans="1:29">
      <c r="A9" s="44"/>
      <c r="B9" s="1" t="s">
        <v>14</v>
      </c>
      <c r="C9" s="2" t="s">
        <v>20</v>
      </c>
      <c r="D9" s="1">
        <v>7</v>
      </c>
      <c r="P9" s="1"/>
      <c r="Q9" s="1" t="s">
        <v>25</v>
      </c>
      <c r="R9" s="10">
        <v>600000</v>
      </c>
      <c r="S9" s="2" t="s">
        <v>48</v>
      </c>
      <c r="U9" s="1" t="s">
        <v>52</v>
      </c>
      <c r="V9" s="16">
        <v>72000000</v>
      </c>
      <c r="W9" s="16">
        <v>864000000</v>
      </c>
      <c r="X9" s="1"/>
      <c r="AC9" s="15">
        <f>SUM(AC3:AC8)</f>
        <v>6960000</v>
      </c>
    </row>
    <row r="10" spans="1:29">
      <c r="A10" s="44"/>
      <c r="B10" s="1" t="s">
        <v>15</v>
      </c>
      <c r="C10" s="2" t="s">
        <v>20</v>
      </c>
      <c r="D10" s="1">
        <v>5</v>
      </c>
      <c r="P10" s="1"/>
      <c r="Q10" s="1" t="s">
        <v>68</v>
      </c>
      <c r="R10" s="10">
        <v>900000</v>
      </c>
      <c r="S10" s="2" t="s">
        <v>49</v>
      </c>
      <c r="U10" s="1" t="s">
        <v>71</v>
      </c>
      <c r="V10" s="16">
        <v>8120000</v>
      </c>
      <c r="W10" s="16">
        <v>97440000</v>
      </c>
      <c r="X10" s="1"/>
    </row>
    <row r="11" spans="1:29">
      <c r="A11" s="44"/>
      <c r="B11" s="1" t="s">
        <v>16</v>
      </c>
      <c r="C11" s="2" t="s">
        <v>20</v>
      </c>
      <c r="D11" s="1">
        <v>4</v>
      </c>
      <c r="P11" s="1"/>
      <c r="Q11" s="6" t="s">
        <v>67</v>
      </c>
      <c r="R11" s="14">
        <v>300000</v>
      </c>
      <c r="S11" s="2" t="s">
        <v>69</v>
      </c>
      <c r="U11" s="1" t="s">
        <v>73</v>
      </c>
      <c r="V11" s="16">
        <v>500000</v>
      </c>
      <c r="W11" s="16">
        <v>6000000</v>
      </c>
      <c r="X11" s="1"/>
    </row>
    <row r="12" spans="1:29">
      <c r="A12" s="44"/>
      <c r="B12" s="1" t="s">
        <v>17</v>
      </c>
      <c r="C12" s="2" t="s">
        <v>20</v>
      </c>
      <c r="D12" s="1">
        <v>2</v>
      </c>
      <c r="P12" s="1" t="s">
        <v>50</v>
      </c>
      <c r="Q12" s="1" t="s">
        <v>51</v>
      </c>
      <c r="R12" s="1"/>
      <c r="S12" s="1"/>
      <c r="U12" s="1" t="s">
        <v>28</v>
      </c>
      <c r="V12" s="16">
        <f>SUM(V9,V10,V11)</f>
        <v>80620000</v>
      </c>
      <c r="W12" s="16">
        <f>SUM(W9,W10,W11)</f>
        <v>967440000</v>
      </c>
      <c r="X12" s="1"/>
    </row>
    <row r="13" spans="1:29">
      <c r="A13" s="44">
        <v>5</v>
      </c>
      <c r="B13" s="1" t="s">
        <v>18</v>
      </c>
      <c r="C13" s="1"/>
      <c r="D13" s="1"/>
      <c r="P13" s="1"/>
      <c r="Q13" s="1" t="s">
        <v>52</v>
      </c>
      <c r="R13" s="12">
        <v>864000000</v>
      </c>
      <c r="S13" s="2" t="s">
        <v>55</v>
      </c>
      <c r="U13" s="1"/>
      <c r="V13" s="16"/>
      <c r="W13" s="16"/>
      <c r="X13" s="1"/>
    </row>
    <row r="14" spans="1:29">
      <c r="A14" s="44"/>
      <c r="B14" s="1" t="s">
        <v>13</v>
      </c>
      <c r="C14" s="2" t="s">
        <v>19</v>
      </c>
      <c r="D14" s="1">
        <v>5</v>
      </c>
      <c r="P14" s="1"/>
      <c r="Q14" s="1" t="s">
        <v>58</v>
      </c>
      <c r="R14" s="13">
        <f>SUM(R4,R5,R7,R8,R9,R10,R13)</f>
        <v>908600000</v>
      </c>
      <c r="S14" s="1"/>
      <c r="U14" s="1" t="s">
        <v>74</v>
      </c>
      <c r="V14" s="16">
        <f>V12+V7</f>
        <v>81850000</v>
      </c>
      <c r="W14" s="16">
        <f>W12+W7</f>
        <v>982200000</v>
      </c>
      <c r="X14" s="1"/>
    </row>
    <row r="15" spans="1:29">
      <c r="A15" s="44"/>
      <c r="B15" s="1" t="s">
        <v>14</v>
      </c>
      <c r="C15" s="2" t="s">
        <v>19</v>
      </c>
      <c r="D15" s="1">
        <v>8</v>
      </c>
    </row>
    <row r="16" spans="1:29">
      <c r="A16" s="44"/>
      <c r="B16" s="1" t="s">
        <v>15</v>
      </c>
      <c r="C16" s="2" t="s">
        <v>19</v>
      </c>
      <c r="D16" s="1">
        <v>10</v>
      </c>
    </row>
    <row r="17" spans="1:24">
      <c r="A17" s="44"/>
      <c r="B17" s="1" t="s">
        <v>16</v>
      </c>
      <c r="C17" s="2" t="s">
        <v>19</v>
      </c>
      <c r="D17" s="1">
        <v>10</v>
      </c>
      <c r="K17" t="s">
        <v>71</v>
      </c>
      <c r="L17" t="s">
        <v>33</v>
      </c>
      <c r="M17" t="s">
        <v>34</v>
      </c>
      <c r="N17" t="s">
        <v>35</v>
      </c>
    </row>
    <row r="18" spans="1:24">
      <c r="A18" s="44"/>
      <c r="B18" s="4" t="s">
        <v>17</v>
      </c>
      <c r="C18" s="5" t="s">
        <v>19</v>
      </c>
      <c r="D18" s="4">
        <v>20</v>
      </c>
      <c r="K18" t="s">
        <v>31</v>
      </c>
      <c r="L18" t="s">
        <v>72</v>
      </c>
      <c r="M18">
        <v>6300000</v>
      </c>
      <c r="N18">
        <f>M18*12</f>
        <v>75600000</v>
      </c>
    </row>
    <row r="19" spans="1:24">
      <c r="B19" s="6" t="s">
        <v>38</v>
      </c>
      <c r="C19" s="7" t="s">
        <v>39</v>
      </c>
      <c r="D19" s="1" t="s">
        <v>40</v>
      </c>
      <c r="E19" s="1" t="s">
        <v>42</v>
      </c>
      <c r="F19" s="2" t="s">
        <v>44</v>
      </c>
      <c r="K19" t="s">
        <v>37</v>
      </c>
      <c r="L19" t="s">
        <v>32</v>
      </c>
      <c r="M19">
        <v>1820000</v>
      </c>
      <c r="N19">
        <f>M19*12</f>
        <v>21840000</v>
      </c>
    </row>
    <row r="20" spans="1:24">
      <c r="B20" s="1" t="s">
        <v>13</v>
      </c>
      <c r="C20" s="2" t="s">
        <v>20</v>
      </c>
      <c r="D20" s="1">
        <v>30</v>
      </c>
      <c r="E20" s="1">
        <v>250000</v>
      </c>
      <c r="F20" s="1">
        <f>D20*E20</f>
        <v>7500000</v>
      </c>
      <c r="K20" t="s">
        <v>36</v>
      </c>
      <c r="M20">
        <f>M18+M19</f>
        <v>8120000</v>
      </c>
      <c r="N20">
        <f>N18+N19</f>
        <v>97440000</v>
      </c>
      <c r="U20" t="s">
        <v>97</v>
      </c>
    </row>
    <row r="21" spans="1:24">
      <c r="B21" s="1" t="s">
        <v>14</v>
      </c>
      <c r="C21" s="2" t="s">
        <v>20</v>
      </c>
      <c r="D21" s="1">
        <v>21</v>
      </c>
      <c r="E21" s="1">
        <v>500000</v>
      </c>
      <c r="F21" s="1">
        <f t="shared" ref="F21:F24" si="2">D21*E21</f>
        <v>10500000</v>
      </c>
      <c r="U21" t="s">
        <v>82</v>
      </c>
    </row>
    <row r="22" spans="1:24">
      <c r="B22" s="1" t="s">
        <v>15</v>
      </c>
      <c r="C22" s="2" t="s">
        <v>20</v>
      </c>
      <c r="D22" s="1">
        <v>15</v>
      </c>
      <c r="E22" s="1">
        <v>1000000</v>
      </c>
      <c r="F22" s="1">
        <f t="shared" si="2"/>
        <v>15000000</v>
      </c>
      <c r="U22" t="s">
        <v>98</v>
      </c>
    </row>
    <row r="23" spans="1:24">
      <c r="B23" s="1" t="s">
        <v>16</v>
      </c>
      <c r="C23" s="2" t="s">
        <v>20</v>
      </c>
      <c r="D23" s="1">
        <v>12</v>
      </c>
      <c r="E23" s="1">
        <v>2000000</v>
      </c>
      <c r="F23" s="1">
        <f t="shared" si="2"/>
        <v>24000000</v>
      </c>
    </row>
    <row r="24" spans="1:24">
      <c r="B24" s="1" t="s">
        <v>17</v>
      </c>
      <c r="C24" s="2" t="s">
        <v>20</v>
      </c>
      <c r="D24" s="1">
        <v>6</v>
      </c>
      <c r="E24" s="1">
        <v>2500000</v>
      </c>
      <c r="F24" s="1">
        <f t="shared" si="2"/>
        <v>15000000</v>
      </c>
      <c r="V24" s="30">
        <v>0.86960000000000004</v>
      </c>
      <c r="W24" s="30">
        <v>168528480</v>
      </c>
      <c r="X24">
        <f>W24*V24</f>
        <v>146552366.208</v>
      </c>
    </row>
    <row r="25" spans="1:24">
      <c r="B25" s="6" t="s">
        <v>41</v>
      </c>
      <c r="C25" s="1"/>
      <c r="D25" s="1"/>
      <c r="E25" s="1"/>
      <c r="F25" s="1">
        <f>SUM(F20,F21,F22,F23,F24)</f>
        <v>72000000</v>
      </c>
      <c r="G25" s="3">
        <v>12</v>
      </c>
      <c r="H25">
        <f>F25*G25</f>
        <v>864000000</v>
      </c>
    </row>
    <row r="26" spans="1:24">
      <c r="B26" s="6" t="s">
        <v>43</v>
      </c>
      <c r="C26" s="1"/>
      <c r="D26" s="1"/>
      <c r="E26" s="1"/>
      <c r="F26" s="1">
        <f>F25*12</f>
        <v>864000000</v>
      </c>
    </row>
    <row r="28" spans="1:24">
      <c r="J28" s="1" t="s">
        <v>38</v>
      </c>
      <c r="K28" s="1" t="s">
        <v>42</v>
      </c>
      <c r="L28" s="1" t="s">
        <v>29</v>
      </c>
      <c r="M28" s="1" t="s">
        <v>30</v>
      </c>
      <c r="Q28" s="1" t="s">
        <v>40</v>
      </c>
      <c r="R28" s="1" t="s">
        <v>75</v>
      </c>
    </row>
    <row r="29" spans="1:24">
      <c r="J29" s="1" t="s">
        <v>13</v>
      </c>
      <c r="K29" s="1">
        <v>250000</v>
      </c>
      <c r="L29" s="8">
        <v>0.1</v>
      </c>
      <c r="M29" s="1">
        <f>(K29*L29)+K29</f>
        <v>275000</v>
      </c>
      <c r="Q29" s="1">
        <v>30</v>
      </c>
      <c r="R29" s="1">
        <f>M29*Q29</f>
        <v>8250000</v>
      </c>
    </row>
    <row r="30" spans="1:24">
      <c r="J30" s="1" t="s">
        <v>14</v>
      </c>
      <c r="K30" s="1">
        <v>500000</v>
      </c>
      <c r="L30" s="8">
        <v>0.1</v>
      </c>
      <c r="M30" s="1">
        <f t="shared" ref="M30:M33" si="3">(K30*L30)+K30</f>
        <v>550000</v>
      </c>
      <c r="Q30" s="1">
        <v>21</v>
      </c>
      <c r="R30" s="1">
        <f>M30*Q30</f>
        <v>11550000</v>
      </c>
    </row>
    <row r="31" spans="1:24">
      <c r="J31" s="1" t="s">
        <v>15</v>
      </c>
      <c r="K31" s="1">
        <v>1000000</v>
      </c>
      <c r="L31" s="8">
        <v>0.15</v>
      </c>
      <c r="M31" s="1">
        <f t="shared" si="3"/>
        <v>1150000</v>
      </c>
      <c r="Q31" s="1">
        <v>15</v>
      </c>
      <c r="R31" s="1">
        <f>M31*Q31</f>
        <v>17250000</v>
      </c>
    </row>
    <row r="32" spans="1:24">
      <c r="J32" s="1" t="s">
        <v>16</v>
      </c>
      <c r="K32" s="1">
        <v>2000000</v>
      </c>
      <c r="L32" s="8">
        <v>0.2</v>
      </c>
      <c r="M32" s="1">
        <f t="shared" si="3"/>
        <v>2400000</v>
      </c>
      <c r="Q32" s="1">
        <v>12</v>
      </c>
      <c r="R32" s="1">
        <f>M32*Q32</f>
        <v>28800000</v>
      </c>
    </row>
    <row r="33" spans="7:21">
      <c r="J33" s="1" t="s">
        <v>17</v>
      </c>
      <c r="K33" s="1">
        <v>2500000</v>
      </c>
      <c r="L33" s="8">
        <v>0.2</v>
      </c>
      <c r="M33" s="1">
        <f t="shared" si="3"/>
        <v>3000000</v>
      </c>
      <c r="Q33" s="1">
        <v>6</v>
      </c>
      <c r="R33" s="1">
        <f>M33*Q33</f>
        <v>18000000</v>
      </c>
    </row>
    <row r="34" spans="7:21">
      <c r="G34" s="3">
        <v>12</v>
      </c>
      <c r="H34">
        <f>'Perhitungan benar'!R8*G34</f>
        <v>817800000</v>
      </c>
      <c r="J34" s="6" t="s">
        <v>41</v>
      </c>
      <c r="K34" s="1"/>
      <c r="L34" s="1"/>
      <c r="M34" s="1"/>
      <c r="Q34" s="1"/>
      <c r="R34" s="1">
        <f>SUM(R29,R30,R31,R32,R33)</f>
        <v>83850000</v>
      </c>
    </row>
    <row r="35" spans="7:21">
      <c r="J35" s="6" t="s">
        <v>43</v>
      </c>
      <c r="K35" s="1"/>
      <c r="L35" s="1"/>
      <c r="M35" s="1"/>
      <c r="Q35" s="1"/>
      <c r="R35" s="1">
        <f>R34*12</f>
        <v>1006200000</v>
      </c>
      <c r="T35" t="s">
        <v>76</v>
      </c>
      <c r="U35" s="15">
        <f>R35-W14</f>
        <v>24000000</v>
      </c>
    </row>
  </sheetData>
  <mergeCells count="3">
    <mergeCell ref="A4:A6"/>
    <mergeCell ref="A7:A12"/>
    <mergeCell ref="A13:A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7"/>
  <sheetViews>
    <sheetView tabSelected="1" topLeftCell="F1" workbookViewId="0">
      <selection activeCell="F9" sqref="F9"/>
    </sheetView>
  </sheetViews>
  <sheetFormatPr defaultRowHeight="15"/>
  <cols>
    <col min="1" max="1" width="3.85546875" bestFit="1" customWidth="1"/>
    <col min="2" max="2" width="19.85546875" bestFit="1" customWidth="1"/>
    <col min="3" max="3" width="12.7109375" bestFit="1" customWidth="1"/>
    <col min="4" max="4" width="13.85546875" bestFit="1" customWidth="1"/>
    <col min="6" max="6" width="19.85546875" bestFit="1" customWidth="1"/>
    <col min="7" max="7" width="10.5703125" bestFit="1" customWidth="1"/>
    <col min="8" max="8" width="15.42578125" bestFit="1" customWidth="1"/>
    <col min="9" max="9" width="20" bestFit="1" customWidth="1"/>
    <col min="10" max="10" width="15.140625" bestFit="1" customWidth="1"/>
    <col min="11" max="11" width="11.42578125" bestFit="1" customWidth="1"/>
    <col min="12" max="12" width="17.85546875" bestFit="1" customWidth="1"/>
    <col min="13" max="13" width="16.5703125" bestFit="1" customWidth="1"/>
    <col min="14" max="14" width="10.5703125" bestFit="1" customWidth="1"/>
    <col min="15" max="15" width="11.42578125" bestFit="1" customWidth="1"/>
    <col min="16" max="16" width="13.5703125" bestFit="1" customWidth="1"/>
    <col min="17" max="17" width="15.140625" bestFit="1" customWidth="1"/>
    <col min="18" max="18" width="14.85546875" bestFit="1" customWidth="1"/>
    <col min="20" max="20" width="3.85546875" bestFit="1" customWidth="1"/>
    <col min="21" max="21" width="22.7109375" bestFit="1" customWidth="1"/>
    <col min="22" max="22" width="15.140625" style="15" bestFit="1" customWidth="1"/>
    <col min="23" max="23" width="11.140625" bestFit="1" customWidth="1"/>
    <col min="25" max="25" width="21.85546875" bestFit="1" customWidth="1"/>
    <col min="26" max="26" width="13.5703125" bestFit="1" customWidth="1"/>
    <col min="27" max="27" width="15.140625" bestFit="1" customWidth="1"/>
    <col min="28" max="28" width="11.140625" bestFit="1" customWidth="1"/>
    <col min="30" max="30" width="18.5703125" bestFit="1" customWidth="1"/>
    <col min="31" max="31" width="15.140625" bestFit="1" customWidth="1"/>
    <col min="33" max="33" width="17.42578125" bestFit="1" customWidth="1"/>
    <col min="34" max="34" width="13.5703125" bestFit="1" customWidth="1"/>
    <col min="36" max="36" width="27.7109375" bestFit="1" customWidth="1"/>
    <col min="37" max="37" width="12.42578125" bestFit="1" customWidth="1"/>
    <col min="38" max="38" width="11.42578125" bestFit="1" customWidth="1"/>
  </cols>
  <sheetData>
    <row r="1" spans="1:38">
      <c r="A1" s="45" t="s">
        <v>1</v>
      </c>
      <c r="B1" s="45"/>
      <c r="C1" s="45"/>
      <c r="D1" s="45"/>
      <c r="F1" s="45" t="s">
        <v>52</v>
      </c>
      <c r="G1" s="45"/>
      <c r="H1" s="45"/>
      <c r="I1" s="45"/>
      <c r="J1" s="45"/>
      <c r="L1" s="45" t="s">
        <v>77</v>
      </c>
      <c r="M1" s="45"/>
      <c r="N1" s="45"/>
      <c r="O1" s="45"/>
      <c r="P1" s="45"/>
      <c r="Q1" s="45"/>
      <c r="T1" t="s">
        <v>46</v>
      </c>
      <c r="Y1" t="s">
        <v>99</v>
      </c>
      <c r="AD1" t="s">
        <v>97</v>
      </c>
      <c r="AG1" t="s">
        <v>102</v>
      </c>
      <c r="AJ1" t="s">
        <v>66</v>
      </c>
    </row>
    <row r="2" spans="1:38">
      <c r="A2" s="33" t="s">
        <v>0</v>
      </c>
      <c r="B2" s="33" t="s">
        <v>1</v>
      </c>
      <c r="C2" s="33" t="s">
        <v>2</v>
      </c>
      <c r="D2" s="33" t="s">
        <v>3</v>
      </c>
      <c r="F2" s="33" t="s">
        <v>38</v>
      </c>
      <c r="G2" s="34" t="s">
        <v>39</v>
      </c>
      <c r="H2" s="33" t="s">
        <v>40</v>
      </c>
      <c r="I2" s="33" t="s">
        <v>81</v>
      </c>
      <c r="J2" s="34" t="s">
        <v>44</v>
      </c>
      <c r="L2" s="33" t="s">
        <v>38</v>
      </c>
      <c r="M2" s="33" t="s">
        <v>42</v>
      </c>
      <c r="N2" s="33" t="s">
        <v>79</v>
      </c>
      <c r="O2" s="33" t="s">
        <v>78</v>
      </c>
      <c r="P2" s="33" t="s">
        <v>80</v>
      </c>
      <c r="Q2" s="33" t="s">
        <v>40</v>
      </c>
      <c r="R2" s="33" t="s">
        <v>82</v>
      </c>
      <c r="T2" s="33" t="s">
        <v>0</v>
      </c>
      <c r="U2" s="34" t="s">
        <v>45</v>
      </c>
      <c r="V2" s="35" t="s">
        <v>54</v>
      </c>
      <c r="W2" s="33" t="s">
        <v>26</v>
      </c>
      <c r="Y2" s="33" t="s">
        <v>45</v>
      </c>
      <c r="Z2" s="33" t="s">
        <v>60</v>
      </c>
      <c r="AA2" s="33" t="s">
        <v>61</v>
      </c>
      <c r="AB2" s="33" t="s">
        <v>26</v>
      </c>
      <c r="AD2" s="33" t="s">
        <v>82</v>
      </c>
      <c r="AE2" s="37">
        <f>R9</f>
        <v>817800000</v>
      </c>
      <c r="AG2" s="33" t="s">
        <v>101</v>
      </c>
      <c r="AH2" s="37">
        <f>AE6</f>
        <v>164806500</v>
      </c>
      <c r="AI2" s="1"/>
      <c r="AJ2" s="33" t="s">
        <v>127</v>
      </c>
      <c r="AK2" s="33" t="s">
        <v>128</v>
      </c>
      <c r="AL2" s="33" t="s">
        <v>65</v>
      </c>
    </row>
    <row r="3" spans="1:38">
      <c r="A3" s="1">
        <v>1</v>
      </c>
      <c r="B3" s="1" t="s">
        <v>4</v>
      </c>
      <c r="C3" s="2" t="s">
        <v>5</v>
      </c>
      <c r="D3" s="1">
        <v>5</v>
      </c>
      <c r="F3" s="1" t="s">
        <v>13</v>
      </c>
      <c r="G3" s="2" t="s">
        <v>20</v>
      </c>
      <c r="H3" s="1">
        <f>D10</f>
        <v>40</v>
      </c>
      <c r="I3" s="16">
        <f>D22</f>
        <v>250000</v>
      </c>
      <c r="J3" s="16">
        <f>H3*I3</f>
        <v>10000000</v>
      </c>
      <c r="L3" s="1" t="s">
        <v>13</v>
      </c>
      <c r="M3" s="16">
        <f>D22</f>
        <v>250000</v>
      </c>
      <c r="N3" s="8">
        <f>D16</f>
        <v>0.45</v>
      </c>
      <c r="O3" s="16">
        <f>M3*N3</f>
        <v>112500</v>
      </c>
      <c r="P3" s="16">
        <f>M3+O3</f>
        <v>362500</v>
      </c>
      <c r="Q3" s="1">
        <f>D10</f>
        <v>40</v>
      </c>
      <c r="R3" s="16">
        <f>P3*Q3</f>
        <v>14500000</v>
      </c>
      <c r="T3" s="6" t="s">
        <v>47</v>
      </c>
      <c r="U3" s="9" t="s">
        <v>46</v>
      </c>
      <c r="V3" s="23"/>
      <c r="W3" s="2"/>
      <c r="Y3" s="1" t="s">
        <v>59</v>
      </c>
      <c r="Z3" s="1"/>
      <c r="AA3" s="1"/>
      <c r="AB3" s="1"/>
      <c r="AD3" s="1" t="s">
        <v>98</v>
      </c>
      <c r="AE3" s="16">
        <f>AA15</f>
        <v>623910000</v>
      </c>
      <c r="AG3" s="1" t="s">
        <v>65</v>
      </c>
      <c r="AH3" s="16">
        <f>AL9</f>
        <v>6960000</v>
      </c>
      <c r="AJ3" s="38" t="s">
        <v>53</v>
      </c>
      <c r="AK3" s="39">
        <v>25000000</v>
      </c>
      <c r="AL3" s="39">
        <f>SLN(AK3,0,5)</f>
        <v>5000000</v>
      </c>
    </row>
    <row r="4" spans="1:38">
      <c r="A4" s="1">
        <v>2</v>
      </c>
      <c r="B4" s="1" t="s">
        <v>6</v>
      </c>
      <c r="C4" s="2" t="s">
        <v>7</v>
      </c>
      <c r="D4" s="1">
        <v>12</v>
      </c>
      <c r="F4" s="1" t="s">
        <v>14</v>
      </c>
      <c r="G4" s="2" t="s">
        <v>20</v>
      </c>
      <c r="H4" s="1">
        <f>D11</f>
        <v>10</v>
      </c>
      <c r="I4" s="16">
        <f>D23</f>
        <v>500000</v>
      </c>
      <c r="J4" s="16">
        <f t="shared" ref="J4:J7" si="0">H4*I4</f>
        <v>5000000</v>
      </c>
      <c r="L4" s="1" t="s">
        <v>14</v>
      </c>
      <c r="M4" s="16">
        <f>D23</f>
        <v>500000</v>
      </c>
      <c r="N4" s="8">
        <f>D17</f>
        <v>0.45</v>
      </c>
      <c r="O4" s="16">
        <f t="shared" ref="O4:O7" si="1">M4*N4</f>
        <v>225000</v>
      </c>
      <c r="P4" s="16">
        <f t="shared" ref="P4:P7" si="2">M4+O4</f>
        <v>725000</v>
      </c>
      <c r="Q4" s="1">
        <f>D11</f>
        <v>10</v>
      </c>
      <c r="R4" s="16">
        <f t="shared" ref="R4:R7" si="3">P4*Q4</f>
        <v>7250000</v>
      </c>
      <c r="T4" s="1">
        <v>1</v>
      </c>
      <c r="U4" s="1" t="s">
        <v>21</v>
      </c>
      <c r="V4" s="28">
        <v>10100000</v>
      </c>
      <c r="W4" s="2" t="s">
        <v>56</v>
      </c>
      <c r="Y4" s="1" t="s">
        <v>62</v>
      </c>
      <c r="Z4" s="16">
        <v>200000</v>
      </c>
      <c r="AA4" s="16">
        <f>Z4*12</f>
        <v>2400000</v>
      </c>
      <c r="AB4" s="1"/>
      <c r="AD4" s="1" t="s">
        <v>100</v>
      </c>
      <c r="AE4" s="16">
        <f>AE2-AE3</f>
        <v>193890000</v>
      </c>
      <c r="AG4" s="1"/>
      <c r="AH4" s="16">
        <f>AH2+AH3</f>
        <v>171766500</v>
      </c>
      <c r="AJ4" s="1" t="s">
        <v>23</v>
      </c>
      <c r="AK4" s="16">
        <v>4000000</v>
      </c>
      <c r="AL4" s="16">
        <f t="shared" ref="AL4:AL8" si="4">SLN(AK4,0,5)</f>
        <v>800000</v>
      </c>
    </row>
    <row r="5" spans="1:38">
      <c r="A5" s="1"/>
      <c r="B5" s="6" t="s">
        <v>83</v>
      </c>
      <c r="C5" s="1" t="s">
        <v>84</v>
      </c>
      <c r="D5" s="1">
        <v>26</v>
      </c>
      <c r="F5" s="1" t="s">
        <v>15</v>
      </c>
      <c r="G5" s="2" t="s">
        <v>20</v>
      </c>
      <c r="H5" s="1">
        <f>D12</f>
        <v>10</v>
      </c>
      <c r="I5" s="16">
        <f>D24</f>
        <v>1000000</v>
      </c>
      <c r="J5" s="16">
        <f t="shared" si="0"/>
        <v>10000000</v>
      </c>
      <c r="L5" s="1" t="s">
        <v>15</v>
      </c>
      <c r="M5" s="16">
        <f>D24</f>
        <v>1000000</v>
      </c>
      <c r="N5" s="8">
        <f>D18</f>
        <v>0.45</v>
      </c>
      <c r="O5" s="16">
        <f t="shared" si="1"/>
        <v>450000</v>
      </c>
      <c r="P5" s="16">
        <f t="shared" si="2"/>
        <v>1450000</v>
      </c>
      <c r="Q5" s="1">
        <f>D12</f>
        <v>10</v>
      </c>
      <c r="R5" s="16">
        <f t="shared" si="3"/>
        <v>14500000</v>
      </c>
      <c r="T5" s="1">
        <v>3</v>
      </c>
      <c r="U5" s="1" t="s">
        <v>53</v>
      </c>
      <c r="V5" s="24">
        <v>25000000</v>
      </c>
      <c r="W5" s="2" t="s">
        <v>56</v>
      </c>
      <c r="Y5" s="1" t="s">
        <v>63</v>
      </c>
      <c r="Z5" s="16">
        <v>250000</v>
      </c>
      <c r="AA5" s="16">
        <f t="shared" ref="AA5:AA6" si="5">Z5*12</f>
        <v>3000000</v>
      </c>
      <c r="AB5" s="1"/>
      <c r="AD5" s="1" t="s">
        <v>158</v>
      </c>
      <c r="AE5" s="16">
        <f>AE4*15%</f>
        <v>29083500</v>
      </c>
      <c r="AJ5" s="1" t="s">
        <v>24</v>
      </c>
      <c r="AK5" s="16">
        <v>4000000</v>
      </c>
      <c r="AL5" s="16">
        <f t="shared" si="4"/>
        <v>800000</v>
      </c>
    </row>
    <row r="6" spans="1:38">
      <c r="A6" s="44">
        <v>3</v>
      </c>
      <c r="B6" s="1" t="s">
        <v>8</v>
      </c>
      <c r="C6" s="1"/>
      <c r="D6" s="1"/>
      <c r="F6" s="1" t="s">
        <v>16</v>
      </c>
      <c r="G6" s="2" t="s">
        <v>20</v>
      </c>
      <c r="H6" s="1">
        <f>D13</f>
        <v>6</v>
      </c>
      <c r="I6" s="16">
        <f>D25</f>
        <v>2000000</v>
      </c>
      <c r="J6" s="16">
        <f t="shared" si="0"/>
        <v>12000000</v>
      </c>
      <c r="L6" s="1" t="s">
        <v>16</v>
      </c>
      <c r="M6" s="16">
        <f>D25</f>
        <v>2000000</v>
      </c>
      <c r="N6" s="8">
        <f>D19</f>
        <v>0.45</v>
      </c>
      <c r="O6" s="16">
        <f t="shared" si="1"/>
        <v>900000</v>
      </c>
      <c r="P6" s="16">
        <f t="shared" si="2"/>
        <v>2900000</v>
      </c>
      <c r="Q6" s="1">
        <f>D13</f>
        <v>6</v>
      </c>
      <c r="R6" s="16">
        <f t="shared" si="3"/>
        <v>17400000</v>
      </c>
      <c r="T6" s="1">
        <v>2</v>
      </c>
      <c r="U6" s="1" t="s">
        <v>22</v>
      </c>
      <c r="V6" s="23"/>
      <c r="W6" s="1"/>
      <c r="Y6" s="1" t="s">
        <v>64</v>
      </c>
      <c r="Z6" s="16">
        <v>200000</v>
      </c>
      <c r="AA6" s="16">
        <f t="shared" si="5"/>
        <v>2400000</v>
      </c>
      <c r="AB6" s="1"/>
      <c r="AD6" s="1" t="s">
        <v>101</v>
      </c>
      <c r="AE6" s="16">
        <f>AE4-AE5</f>
        <v>164806500</v>
      </c>
      <c r="AJ6" s="1" t="s">
        <v>25</v>
      </c>
      <c r="AK6" s="16">
        <v>600000</v>
      </c>
      <c r="AL6" s="16">
        <f t="shared" si="4"/>
        <v>120000</v>
      </c>
    </row>
    <row r="7" spans="1:38">
      <c r="A7" s="44"/>
      <c r="B7" s="1" t="s">
        <v>9</v>
      </c>
      <c r="C7" s="2" t="s">
        <v>11</v>
      </c>
      <c r="D7" s="1">
        <v>3</v>
      </c>
      <c r="F7" s="1" t="s">
        <v>17</v>
      </c>
      <c r="G7" s="2" t="s">
        <v>20</v>
      </c>
      <c r="H7" s="1">
        <f>D14</f>
        <v>4</v>
      </c>
      <c r="I7" s="16">
        <f>D26</f>
        <v>2500000</v>
      </c>
      <c r="J7" s="16">
        <f t="shared" si="0"/>
        <v>10000000</v>
      </c>
      <c r="L7" s="1" t="s">
        <v>17</v>
      </c>
      <c r="M7" s="16">
        <f>D26</f>
        <v>2500000</v>
      </c>
      <c r="N7" s="8">
        <f>D20</f>
        <v>0.45</v>
      </c>
      <c r="O7" s="16">
        <f t="shared" si="1"/>
        <v>1125000</v>
      </c>
      <c r="P7" s="16">
        <f t="shared" si="2"/>
        <v>3625000</v>
      </c>
      <c r="Q7" s="1">
        <f>D14</f>
        <v>4</v>
      </c>
      <c r="R7" s="16">
        <f t="shared" si="3"/>
        <v>14500000</v>
      </c>
      <c r="T7" s="1"/>
      <c r="U7" s="1" t="s">
        <v>57</v>
      </c>
      <c r="V7" s="24">
        <v>4000000</v>
      </c>
      <c r="W7" s="1"/>
      <c r="Y7" s="1" t="s">
        <v>65</v>
      </c>
      <c r="Z7" s="16">
        <f>AA7/12</f>
        <v>580000</v>
      </c>
      <c r="AA7" s="16">
        <f>AL9</f>
        <v>6960000</v>
      </c>
      <c r="AB7" s="1"/>
      <c r="AD7" s="40" t="s">
        <v>142</v>
      </c>
      <c r="AE7" s="15">
        <f>AE6/12</f>
        <v>13733875</v>
      </c>
      <c r="AJ7" s="1" t="s">
        <v>27</v>
      </c>
      <c r="AK7" s="16">
        <v>900000</v>
      </c>
      <c r="AL7" s="16">
        <f t="shared" si="4"/>
        <v>180000</v>
      </c>
    </row>
    <row r="8" spans="1:38">
      <c r="A8" s="44"/>
      <c r="B8" s="1"/>
      <c r="C8" s="2"/>
      <c r="D8" s="1"/>
      <c r="F8" s="6" t="s">
        <v>41</v>
      </c>
      <c r="G8" s="1"/>
      <c r="H8" s="1"/>
      <c r="I8" s="16"/>
      <c r="J8" s="16">
        <f>SUM(J3,J4,J5,J6,J7)</f>
        <v>47000000</v>
      </c>
      <c r="L8" s="6" t="s">
        <v>41</v>
      </c>
      <c r="M8" s="1"/>
      <c r="N8" s="1"/>
      <c r="O8" s="1"/>
      <c r="P8" s="1"/>
      <c r="Q8" s="1"/>
      <c r="R8" s="16">
        <f>SUM(R3,R4,R5,R6,R7)</f>
        <v>68150000</v>
      </c>
      <c r="T8" s="1"/>
      <c r="U8" s="1" t="s">
        <v>24</v>
      </c>
      <c r="V8" s="27">
        <v>4000000</v>
      </c>
      <c r="W8" s="1"/>
      <c r="Y8" s="1" t="s">
        <v>28</v>
      </c>
      <c r="Z8" s="16">
        <f>SUM(Z4:Z7)</f>
        <v>1230000</v>
      </c>
      <c r="AA8" s="16">
        <f>SUM(AA4:AA7)</f>
        <v>14760000</v>
      </c>
      <c r="AB8" s="1"/>
      <c r="AJ8" s="1" t="s">
        <v>67</v>
      </c>
      <c r="AK8" s="16">
        <v>300000</v>
      </c>
      <c r="AL8" s="16">
        <f t="shared" si="4"/>
        <v>60000</v>
      </c>
    </row>
    <row r="9" spans="1:38">
      <c r="A9" s="44">
        <v>4</v>
      </c>
      <c r="B9" s="1" t="s">
        <v>12</v>
      </c>
      <c r="C9" s="2"/>
      <c r="D9" s="1"/>
      <c r="F9" s="6" t="s">
        <v>43</v>
      </c>
      <c r="G9" s="1"/>
      <c r="H9" s="1"/>
      <c r="I9" s="16"/>
      <c r="J9" s="16">
        <f>J8*12</f>
        <v>564000000</v>
      </c>
      <c r="L9" s="6" t="s">
        <v>43</v>
      </c>
      <c r="M9" s="1"/>
      <c r="N9" s="1"/>
      <c r="O9" s="1"/>
      <c r="P9" s="1"/>
      <c r="Q9" s="1"/>
      <c r="R9" s="16">
        <f>R8*12</f>
        <v>817800000</v>
      </c>
      <c r="T9" s="1"/>
      <c r="U9" s="1" t="s">
        <v>25</v>
      </c>
      <c r="V9" s="24">
        <v>600000</v>
      </c>
      <c r="W9" s="2" t="s">
        <v>48</v>
      </c>
      <c r="Y9" s="1" t="s">
        <v>70</v>
      </c>
      <c r="Z9" s="16"/>
      <c r="AA9" s="16"/>
      <c r="AB9" s="1"/>
      <c r="AJ9" s="1"/>
      <c r="AK9" s="1"/>
      <c r="AL9" s="16">
        <f>SUM(AL3:AL8)</f>
        <v>6960000</v>
      </c>
    </row>
    <row r="10" spans="1:38">
      <c r="A10" s="44"/>
      <c r="B10" s="1" t="s">
        <v>90</v>
      </c>
      <c r="C10" s="2" t="s">
        <v>20</v>
      </c>
      <c r="D10" s="1">
        <v>40</v>
      </c>
      <c r="T10" s="1"/>
      <c r="U10" s="1" t="s">
        <v>68</v>
      </c>
      <c r="V10" s="24">
        <v>900000</v>
      </c>
      <c r="W10" s="2" t="s">
        <v>49</v>
      </c>
      <c r="Y10" s="1" t="s">
        <v>52</v>
      </c>
      <c r="Z10" s="16">
        <f>J8</f>
        <v>47000000</v>
      </c>
      <c r="AA10" s="16">
        <f>J9</f>
        <v>564000000</v>
      </c>
      <c r="AB10" s="1"/>
    </row>
    <row r="11" spans="1:38">
      <c r="A11" s="44"/>
      <c r="B11" s="1" t="s">
        <v>91</v>
      </c>
      <c r="C11" s="2" t="s">
        <v>20</v>
      </c>
      <c r="D11" s="1">
        <v>10</v>
      </c>
      <c r="F11" s="46" t="s">
        <v>87</v>
      </c>
      <c r="G11" s="46"/>
      <c r="H11" s="46"/>
      <c r="I11" s="46"/>
      <c r="L11" t="s">
        <v>103</v>
      </c>
      <c r="T11" s="1"/>
      <c r="U11" s="6" t="s">
        <v>67</v>
      </c>
      <c r="V11" s="26">
        <v>300000</v>
      </c>
      <c r="W11" s="2" t="s">
        <v>69</v>
      </c>
      <c r="Y11" s="1" t="s">
        <v>71</v>
      </c>
      <c r="Z11" s="16">
        <f>H15</f>
        <v>3600000</v>
      </c>
      <c r="AA11" s="16">
        <f>I15</f>
        <v>43200000</v>
      </c>
      <c r="AB11" s="1"/>
    </row>
    <row r="12" spans="1:38">
      <c r="A12" s="44"/>
      <c r="B12" s="1" t="s">
        <v>92</v>
      </c>
      <c r="C12" s="2" t="s">
        <v>20</v>
      </c>
      <c r="D12" s="1">
        <v>10</v>
      </c>
      <c r="F12" s="33" t="s">
        <v>86</v>
      </c>
      <c r="G12" s="33" t="s">
        <v>40</v>
      </c>
      <c r="H12" s="33" t="s">
        <v>34</v>
      </c>
      <c r="I12" s="33" t="s">
        <v>35</v>
      </c>
      <c r="L12" s="1" t="s">
        <v>104</v>
      </c>
      <c r="M12" s="16">
        <f>V14</f>
        <v>608900000</v>
      </c>
      <c r="T12" s="1" t="s">
        <v>50</v>
      </c>
      <c r="U12" s="1" t="s">
        <v>51</v>
      </c>
      <c r="V12" s="16"/>
      <c r="W12" s="1"/>
      <c r="Y12" s="1" t="s">
        <v>73</v>
      </c>
      <c r="Z12" s="16">
        <v>162500</v>
      </c>
      <c r="AA12" s="16">
        <f>Z12*12</f>
        <v>1950000</v>
      </c>
      <c r="AB12" s="1"/>
    </row>
    <row r="13" spans="1:38">
      <c r="A13" s="44"/>
      <c r="B13" s="1" t="s">
        <v>93</v>
      </c>
      <c r="C13" s="2" t="s">
        <v>20</v>
      </c>
      <c r="D13" s="1">
        <v>6</v>
      </c>
      <c r="F13" s="1" t="s">
        <v>85</v>
      </c>
      <c r="G13" s="1">
        <f>D7</f>
        <v>3</v>
      </c>
      <c r="H13" s="16">
        <f>D28*D5*D7</f>
        <v>3600000</v>
      </c>
      <c r="I13" s="16">
        <f>H13*D4</f>
        <v>43200000</v>
      </c>
      <c r="L13" s="1" t="s">
        <v>105</v>
      </c>
      <c r="M13" s="16">
        <f>AH4</f>
        <v>171766500</v>
      </c>
      <c r="T13" s="1"/>
      <c r="U13" s="1" t="s">
        <v>52</v>
      </c>
      <c r="V13" s="25">
        <f>J9</f>
        <v>564000000</v>
      </c>
      <c r="W13" s="2" t="s">
        <v>55</v>
      </c>
      <c r="Y13" s="1" t="s">
        <v>28</v>
      </c>
      <c r="Z13" s="16">
        <f>SUM(Z10,Z11,Z12)</f>
        <v>50762500</v>
      </c>
      <c r="AA13" s="16">
        <f>SUM(AA10,AA11,AA12)</f>
        <v>609150000</v>
      </c>
      <c r="AB13" s="1"/>
    </row>
    <row r="14" spans="1:38">
      <c r="A14" s="44"/>
      <c r="B14" s="1" t="s">
        <v>94</v>
      </c>
      <c r="C14" s="2" t="s">
        <v>20</v>
      </c>
      <c r="D14" s="1">
        <v>4</v>
      </c>
      <c r="F14" s="1"/>
      <c r="G14" s="1"/>
      <c r="H14" s="16"/>
      <c r="I14" s="16"/>
      <c r="L14" s="1" t="s">
        <v>106</v>
      </c>
      <c r="M14" s="1">
        <f>M12/M13</f>
        <v>3.5449287259157054</v>
      </c>
      <c r="T14" s="1"/>
      <c r="U14" s="1" t="s">
        <v>58</v>
      </c>
      <c r="V14" s="24">
        <f>SUM(V4,V5,V7,V8,V9,V10,V11,V13)</f>
        <v>608900000</v>
      </c>
      <c r="W14" s="1"/>
      <c r="Y14" s="1"/>
      <c r="Z14" s="16"/>
      <c r="AA14" s="16"/>
      <c r="AB14" s="1"/>
    </row>
    <row r="15" spans="1:38">
      <c r="A15" s="44">
        <v>5</v>
      </c>
      <c r="B15" s="1" t="s">
        <v>18</v>
      </c>
      <c r="C15" s="1"/>
      <c r="D15" s="1"/>
      <c r="F15" s="6" t="s">
        <v>36</v>
      </c>
      <c r="G15" s="1"/>
      <c r="H15" s="16">
        <f>H13+H14</f>
        <v>3600000</v>
      </c>
      <c r="I15" s="16">
        <f>I13+I14</f>
        <v>43200000</v>
      </c>
      <c r="L15" s="1" t="s">
        <v>126</v>
      </c>
      <c r="M15" s="34" t="str">
        <f>IF(M14&lt;5,"Layak","Tidak Layak")</f>
        <v>Layak</v>
      </c>
      <c r="Y15" s="1" t="s">
        <v>74</v>
      </c>
      <c r="Z15" s="16">
        <f>Z13+Z8</f>
        <v>51992500</v>
      </c>
      <c r="AA15" s="16">
        <f>AA13+AA8</f>
        <v>623910000</v>
      </c>
      <c r="AB15" s="1"/>
    </row>
    <row r="16" spans="1:38">
      <c r="A16" s="44"/>
      <c r="B16" s="1" t="s">
        <v>90</v>
      </c>
      <c r="C16" s="2" t="s">
        <v>19</v>
      </c>
      <c r="D16" s="17">
        <v>0.45</v>
      </c>
    </row>
    <row r="17" spans="1:25">
      <c r="A17" s="44"/>
      <c r="B17" s="1" t="s">
        <v>91</v>
      </c>
      <c r="C17" s="2" t="s">
        <v>19</v>
      </c>
      <c r="D17" s="17">
        <v>0.45</v>
      </c>
    </row>
    <row r="18" spans="1:25">
      <c r="A18" s="44"/>
      <c r="B18" s="1" t="s">
        <v>92</v>
      </c>
      <c r="C18" s="2" t="s">
        <v>19</v>
      </c>
      <c r="D18" s="17">
        <v>0.45</v>
      </c>
      <c r="F18" t="s">
        <v>118</v>
      </c>
      <c r="N18" t="s">
        <v>113</v>
      </c>
      <c r="Y18" s="15"/>
    </row>
    <row r="19" spans="1:25">
      <c r="A19" s="44"/>
      <c r="B19" s="1" t="s">
        <v>93</v>
      </c>
      <c r="C19" s="2" t="s">
        <v>19</v>
      </c>
      <c r="D19" s="17">
        <v>0.45</v>
      </c>
      <c r="F19" s="33" t="s">
        <v>120</v>
      </c>
      <c r="G19" s="33" t="s">
        <v>122</v>
      </c>
      <c r="H19" s="33" t="s">
        <v>124</v>
      </c>
      <c r="I19" s="33" t="s">
        <v>125</v>
      </c>
      <c r="J19" s="33" t="s">
        <v>123</v>
      </c>
      <c r="N19" s="33" t="s">
        <v>5</v>
      </c>
      <c r="O19" s="33" t="s">
        <v>114</v>
      </c>
      <c r="P19" s="33" t="s">
        <v>115</v>
      </c>
      <c r="Q19" s="33" t="s">
        <v>116</v>
      </c>
    </row>
    <row r="20" spans="1:25">
      <c r="A20" s="44"/>
      <c r="B20" s="1" t="s">
        <v>94</v>
      </c>
      <c r="C20" s="2" t="s">
        <v>19</v>
      </c>
      <c r="D20" s="17">
        <v>0.45</v>
      </c>
      <c r="F20" s="1" t="s">
        <v>119</v>
      </c>
      <c r="G20" s="17">
        <v>0.5</v>
      </c>
      <c r="H20" s="16">
        <f>U20*G20</f>
        <v>22450000</v>
      </c>
      <c r="I20" s="16">
        <f>G20*V13</f>
        <v>282000000</v>
      </c>
      <c r="J20" s="16">
        <f>+SUM(I20,H20)</f>
        <v>304450000</v>
      </c>
      <c r="N20" s="1">
        <v>0</v>
      </c>
      <c r="O20" s="36">
        <v>1</v>
      </c>
      <c r="P20" s="1"/>
      <c r="Q20" s="1"/>
      <c r="U20" s="43">
        <f>SUM(V4:V11)</f>
        <v>44900000</v>
      </c>
    </row>
    <row r="21" spans="1:25">
      <c r="A21" s="1">
        <v>6</v>
      </c>
      <c r="B21" s="6" t="s">
        <v>88</v>
      </c>
      <c r="C21" s="7"/>
      <c r="D21" s="1"/>
      <c r="F21" s="1" t="s">
        <v>121</v>
      </c>
      <c r="G21" s="17">
        <v>0.5</v>
      </c>
      <c r="H21" s="16">
        <f>U20*G21</f>
        <v>22450000</v>
      </c>
      <c r="I21" s="16">
        <f>G21*V13</f>
        <v>282000000</v>
      </c>
      <c r="J21" s="16">
        <f>+SUM(I21,H21)</f>
        <v>304450000</v>
      </c>
      <c r="N21" s="1">
        <v>1</v>
      </c>
      <c r="O21" s="1">
        <v>0.91</v>
      </c>
      <c r="P21" s="16">
        <f>AH4</f>
        <v>171766500</v>
      </c>
      <c r="Q21" s="16">
        <f>O21*P21</f>
        <v>156307515</v>
      </c>
    </row>
    <row r="22" spans="1:25">
      <c r="A22" s="1"/>
      <c r="B22" s="6" t="s">
        <v>90</v>
      </c>
      <c r="C22" s="7" t="s">
        <v>89</v>
      </c>
      <c r="D22" s="16">
        <v>250000</v>
      </c>
      <c r="F22" s="1"/>
      <c r="G22" s="1"/>
      <c r="H22" s="16">
        <f>H21+H20</f>
        <v>44900000</v>
      </c>
      <c r="I22" s="16">
        <f t="shared" ref="I22:J22" si="6">I21+I20</f>
        <v>564000000</v>
      </c>
      <c r="J22" s="16">
        <f t="shared" si="6"/>
        <v>608900000</v>
      </c>
      <c r="N22" s="1">
        <v>2</v>
      </c>
      <c r="O22" s="1">
        <v>0.83</v>
      </c>
      <c r="P22" s="16">
        <f>AH4</f>
        <v>171766500</v>
      </c>
      <c r="Q22" s="16">
        <f t="shared" ref="Q22:Q25" si="7">O22*P22</f>
        <v>142566195</v>
      </c>
    </row>
    <row r="23" spans="1:25">
      <c r="A23" s="1"/>
      <c r="B23" s="6" t="s">
        <v>91</v>
      </c>
      <c r="C23" s="7" t="s">
        <v>89</v>
      </c>
      <c r="D23" s="16">
        <v>500000</v>
      </c>
      <c r="N23" s="1">
        <v>3</v>
      </c>
      <c r="O23" s="1">
        <v>0.75</v>
      </c>
      <c r="P23" s="16">
        <f>AH4</f>
        <v>171766500</v>
      </c>
      <c r="Q23" s="16">
        <f t="shared" si="7"/>
        <v>128824875</v>
      </c>
    </row>
    <row r="24" spans="1:25">
      <c r="A24" s="1"/>
      <c r="B24" s="6" t="s">
        <v>92</v>
      </c>
      <c r="C24" s="7" t="s">
        <v>89</v>
      </c>
      <c r="D24" s="16">
        <v>1000000</v>
      </c>
      <c r="N24" s="1">
        <v>4</v>
      </c>
      <c r="O24" s="1">
        <v>0.68</v>
      </c>
      <c r="P24" s="16">
        <f>AH4</f>
        <v>171766500</v>
      </c>
      <c r="Q24" s="16">
        <f t="shared" si="7"/>
        <v>116801220.00000001</v>
      </c>
    </row>
    <row r="25" spans="1:25">
      <c r="A25" s="1"/>
      <c r="B25" s="6" t="s">
        <v>93</v>
      </c>
      <c r="C25" s="7" t="s">
        <v>89</v>
      </c>
      <c r="D25" s="16">
        <v>2000000</v>
      </c>
      <c r="N25" s="1">
        <v>5</v>
      </c>
      <c r="O25" s="1">
        <v>0.62</v>
      </c>
      <c r="P25" s="16">
        <f>AH4</f>
        <v>171766500</v>
      </c>
      <c r="Q25" s="16">
        <f t="shared" si="7"/>
        <v>106495230</v>
      </c>
    </row>
    <row r="26" spans="1:25">
      <c r="A26" s="1"/>
      <c r="B26" s="6" t="s">
        <v>94</v>
      </c>
      <c r="C26" s="7" t="s">
        <v>89</v>
      </c>
      <c r="D26" s="16">
        <v>2500000</v>
      </c>
      <c r="N26" s="1"/>
      <c r="O26" s="1"/>
      <c r="P26" s="1"/>
      <c r="Q26" s="16">
        <f>SUM(Q21:Q25)</f>
        <v>650995035</v>
      </c>
      <c r="R26" s="15">
        <f>Q26-V14</f>
        <v>42095035</v>
      </c>
    </row>
    <row r="27" spans="1:25">
      <c r="A27" s="1">
        <v>7</v>
      </c>
      <c r="B27" s="6" t="s">
        <v>71</v>
      </c>
      <c r="C27" s="1"/>
      <c r="D27" s="1"/>
      <c r="N27" s="1" t="s">
        <v>126</v>
      </c>
      <c r="O27" s="1"/>
      <c r="P27" s="1"/>
      <c r="Q27" s="35" t="str">
        <f>IF(Q26&gt;V14,"Layak","Tidak layak")</f>
        <v>Layak</v>
      </c>
    </row>
    <row r="28" spans="1:25">
      <c r="A28" s="1"/>
      <c r="B28" s="6" t="s">
        <v>85</v>
      </c>
      <c r="C28" s="7" t="s">
        <v>95</v>
      </c>
      <c r="D28" s="20">
        <f>D29/D5</f>
        <v>46153.846153846156</v>
      </c>
      <c r="J28" s="19"/>
      <c r="K28" s="19"/>
      <c r="L28" s="1" t="s">
        <v>5</v>
      </c>
      <c r="M28" s="1" t="s">
        <v>129</v>
      </c>
    </row>
    <row r="29" spans="1:25">
      <c r="A29" s="1"/>
      <c r="B29" s="1"/>
      <c r="C29" s="7" t="s">
        <v>96</v>
      </c>
      <c r="D29" s="21">
        <v>1200000</v>
      </c>
      <c r="J29" s="18"/>
      <c r="K29" s="18"/>
      <c r="L29" s="1">
        <v>0</v>
      </c>
      <c r="M29" s="42">
        <f>V14*N29</f>
        <v>-608900000</v>
      </c>
      <c r="N29">
        <v>-1</v>
      </c>
    </row>
    <row r="30" spans="1:25">
      <c r="A30" s="1"/>
      <c r="B30" s="1"/>
      <c r="C30" s="7"/>
      <c r="D30" s="21"/>
      <c r="J30" s="18"/>
      <c r="K30" s="18"/>
      <c r="L30" s="1">
        <v>1</v>
      </c>
      <c r="M30" s="16">
        <f>P21</f>
        <v>171766500</v>
      </c>
      <c r="N30" s="29"/>
    </row>
    <row r="31" spans="1:25">
      <c r="A31" s="1"/>
      <c r="B31" s="1"/>
      <c r="C31" s="7"/>
      <c r="D31" s="16"/>
      <c r="J31" s="19"/>
      <c r="K31" s="19"/>
      <c r="L31" s="31">
        <v>2</v>
      </c>
      <c r="M31" s="16">
        <f>P22</f>
        <v>171766500</v>
      </c>
      <c r="P31" s="1" t="s">
        <v>130</v>
      </c>
      <c r="Q31" s="1" t="s">
        <v>132</v>
      </c>
      <c r="R31" s="1" t="s">
        <v>126</v>
      </c>
    </row>
    <row r="32" spans="1:25">
      <c r="A32" s="1">
        <v>8</v>
      </c>
      <c r="B32" s="6" t="s">
        <v>107</v>
      </c>
      <c r="C32" s="1"/>
      <c r="D32" s="1"/>
      <c r="J32" s="18"/>
      <c r="K32" s="18"/>
      <c r="L32" s="1">
        <v>3</v>
      </c>
      <c r="M32" s="16">
        <f>P23</f>
        <v>171766500</v>
      </c>
      <c r="P32" s="1" t="s">
        <v>131</v>
      </c>
      <c r="Q32" s="1" t="s">
        <v>133</v>
      </c>
      <c r="R32" s="16" t="str">
        <f>Q27</f>
        <v>Layak</v>
      </c>
    </row>
    <row r="33" spans="1:18">
      <c r="A33" s="1"/>
      <c r="B33" s="6" t="s">
        <v>108</v>
      </c>
      <c r="C33" s="7" t="s">
        <v>19</v>
      </c>
      <c r="D33" s="8">
        <v>1</v>
      </c>
      <c r="J33" s="18"/>
      <c r="K33" s="22"/>
      <c r="L33" s="32">
        <v>4</v>
      </c>
      <c r="M33" s="16">
        <f>P24</f>
        <v>171766500</v>
      </c>
      <c r="P33" s="1" t="s">
        <v>117</v>
      </c>
      <c r="Q33" s="1" t="s">
        <v>134</v>
      </c>
      <c r="R33" s="1" t="str">
        <f>M36</f>
        <v>Layak</v>
      </c>
    </row>
    <row r="34" spans="1:18">
      <c r="A34" s="1"/>
      <c r="B34" s="6" t="s">
        <v>109</v>
      </c>
      <c r="C34" s="7" t="s">
        <v>19</v>
      </c>
      <c r="D34" s="8">
        <v>1</v>
      </c>
      <c r="J34" s="18"/>
      <c r="K34" s="22"/>
      <c r="L34" s="32">
        <v>5</v>
      </c>
      <c r="M34" s="16">
        <f>P25</f>
        <v>171766500</v>
      </c>
      <c r="P34" s="1" t="s">
        <v>103</v>
      </c>
      <c r="Q34" s="1" t="s">
        <v>135</v>
      </c>
      <c r="R34" s="1" t="str">
        <f>M15</f>
        <v>Layak</v>
      </c>
    </row>
    <row r="35" spans="1:18">
      <c r="A35" s="1"/>
      <c r="B35" s="1" t="s">
        <v>110</v>
      </c>
      <c r="C35" s="7" t="s">
        <v>19</v>
      </c>
      <c r="D35" s="8">
        <v>1</v>
      </c>
      <c r="L35" s="1" t="s">
        <v>117</v>
      </c>
      <c r="M35" s="8">
        <f>IRR(M29:M34,10%)</f>
        <v>0.12679299680140207</v>
      </c>
    </row>
    <row r="36" spans="1:18">
      <c r="A36" s="1"/>
      <c r="B36" s="1" t="s">
        <v>111</v>
      </c>
      <c r="C36" s="7" t="s">
        <v>19</v>
      </c>
      <c r="D36" s="8">
        <v>1</v>
      </c>
      <c r="L36" s="1" t="s">
        <v>126</v>
      </c>
      <c r="M36" s="34" t="str">
        <f>IF(M35&gt;10%,"Layak","Tidak Layak")</f>
        <v>Layak</v>
      </c>
    </row>
    <row r="37" spans="1:18">
      <c r="A37" s="1"/>
      <c r="B37" s="1" t="s">
        <v>112</v>
      </c>
      <c r="C37" s="7" t="s">
        <v>19</v>
      </c>
      <c r="D37" s="8">
        <v>1</v>
      </c>
    </row>
  </sheetData>
  <mergeCells count="7">
    <mergeCell ref="L1:Q1"/>
    <mergeCell ref="F11:I11"/>
    <mergeCell ref="A6:A8"/>
    <mergeCell ref="A9:A14"/>
    <mergeCell ref="A15:A20"/>
    <mergeCell ref="A1:D1"/>
    <mergeCell ref="F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13" sqref="B13"/>
    </sheetView>
  </sheetViews>
  <sheetFormatPr defaultRowHeight="15"/>
  <cols>
    <col min="1" max="1" width="19.42578125" bestFit="1" customWidth="1"/>
    <col min="2" max="2" width="32" bestFit="1" customWidth="1"/>
  </cols>
  <sheetData>
    <row r="1" spans="1:2">
      <c r="A1" s="45" t="s">
        <v>136</v>
      </c>
      <c r="B1" s="45"/>
    </row>
    <row r="2" spans="1:2">
      <c r="A2" s="33" t="s">
        <v>137</v>
      </c>
      <c r="B2" s="33" t="s">
        <v>138</v>
      </c>
    </row>
    <row r="3" spans="1:2">
      <c r="A3" s="1" t="s">
        <v>139</v>
      </c>
      <c r="B3" s="1" t="s">
        <v>140</v>
      </c>
    </row>
    <row r="4" spans="1:2">
      <c r="A4" s="1" t="s">
        <v>141</v>
      </c>
      <c r="B4" s="41">
        <f>'Perhitungan benar'!AE7</f>
        <v>13733875</v>
      </c>
    </row>
    <row r="5" spans="1:2">
      <c r="A5" s="1" t="s">
        <v>143</v>
      </c>
      <c r="B5" s="16">
        <f>'Perhitungan benar'!V14</f>
        <v>608900000</v>
      </c>
    </row>
    <row r="6" spans="1:2">
      <c r="A6" s="1" t="s">
        <v>144</v>
      </c>
      <c r="B6" s="1" t="s">
        <v>159</v>
      </c>
    </row>
    <row r="7" spans="1:2">
      <c r="A7" s="1"/>
      <c r="B7" s="1" t="s">
        <v>160</v>
      </c>
    </row>
    <row r="8" spans="1:2">
      <c r="A8" s="1" t="s">
        <v>145</v>
      </c>
      <c r="B8" s="1"/>
    </row>
    <row r="9" spans="1:2">
      <c r="A9" s="1" t="s">
        <v>146</v>
      </c>
      <c r="B9" s="1" t="s">
        <v>147</v>
      </c>
    </row>
    <row r="10" spans="1:2">
      <c r="A10" s="1" t="s">
        <v>148</v>
      </c>
      <c r="B10" s="1" t="s">
        <v>149</v>
      </c>
    </row>
    <row r="11" spans="1:2">
      <c r="A11" s="1" t="s">
        <v>150</v>
      </c>
      <c r="B11" s="1" t="s">
        <v>151</v>
      </c>
    </row>
    <row r="12" spans="1:2">
      <c r="A12" s="1" t="s">
        <v>152</v>
      </c>
      <c r="B12" s="1"/>
    </row>
    <row r="13" spans="1:2">
      <c r="A13" s="1" t="s">
        <v>153</v>
      </c>
      <c r="B13" s="16">
        <f>'Perhitungan benar'!R26</f>
        <v>42095035</v>
      </c>
    </row>
    <row r="14" spans="1:2">
      <c r="A14" s="1" t="s">
        <v>154</v>
      </c>
      <c r="B14" s="8">
        <f>'Perhitungan benar'!M35</f>
        <v>0.12679299680140207</v>
      </c>
    </row>
    <row r="15" spans="1:2">
      <c r="A15" s="1" t="s">
        <v>155</v>
      </c>
      <c r="B15" s="1" t="s">
        <v>161</v>
      </c>
    </row>
    <row r="16" spans="1:2">
      <c r="A16" s="1" t="s">
        <v>156</v>
      </c>
      <c r="B16" s="1" t="s">
        <v>157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Gagal</vt:lpstr>
      <vt:lpstr>Perhitungan benar</vt:lpstr>
      <vt:lpstr>Ringkasan usaha</vt:lpstr>
    </vt:vector>
  </TitlesOfParts>
  <Company>Freeware Sys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2016-10-16T21:57:02Z</dcterms:created>
  <dcterms:modified xsi:type="dcterms:W3CDTF">2016-12-04T15:45:15Z</dcterms:modified>
</cp:coreProperties>
</file>